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 firstSheet="1" activeTab="9"/>
  </bookViews>
  <sheets>
    <sheet name="Настройки" sheetId="1" r:id="rId1"/>
    <sheet name="Январь" sheetId="10" r:id="rId2"/>
    <sheet name="Февраль" sheetId="9" r:id="rId3"/>
    <sheet name="Март" sheetId="8" r:id="rId4"/>
    <sheet name="Апрель" sheetId="7" r:id="rId5"/>
    <sheet name="Май" sheetId="6" r:id="rId6"/>
    <sheet name="Июнь" sheetId="5" r:id="rId7"/>
    <sheet name="Июль" sheetId="4" r:id="rId8"/>
    <sheet name="Август" sheetId="3" r:id="rId9"/>
    <sheet name="Сентябрь" sheetId="2" r:id="rId10"/>
    <sheet name="Октябрь" sheetId="11" r:id="rId11"/>
    <sheet name="Ноябрь" sheetId="12" r:id="rId12"/>
    <sheet name="Декабрь" sheetId="13" r:id="rId13"/>
  </sheets>
  <calcPr calcId="152511"/>
</workbook>
</file>

<file path=xl/calcChain.xml><?xml version="1.0" encoding="utf-8"?>
<calcChain xmlns="http://schemas.openxmlformats.org/spreadsheetml/2006/main">
  <c r="AJ81" i="13" l="1"/>
  <c r="AK81" i="13" s="1"/>
  <c r="AJ80" i="13"/>
  <c r="AK80" i="13" s="1"/>
  <c r="AJ79" i="13"/>
  <c r="AK79" i="13" s="1"/>
  <c r="AJ78" i="13"/>
  <c r="AK78" i="13" s="1"/>
  <c r="AJ77" i="13"/>
  <c r="AK77" i="13" s="1"/>
  <c r="AJ76" i="13"/>
  <c r="AK76" i="13" s="1"/>
  <c r="AJ75" i="13"/>
  <c r="AK75" i="13" s="1"/>
  <c r="AJ74" i="13"/>
  <c r="AK74" i="13" s="1"/>
  <c r="AJ73" i="13"/>
  <c r="AK73" i="13" s="1"/>
  <c r="AJ72" i="13"/>
  <c r="AK72" i="13" s="1"/>
  <c r="AJ71" i="13"/>
  <c r="AK71" i="13" s="1"/>
  <c r="AJ70" i="13"/>
  <c r="AK70" i="13" s="1"/>
  <c r="AJ69" i="13"/>
  <c r="AK69" i="13" s="1"/>
  <c r="AJ68" i="13"/>
  <c r="AK68" i="13" s="1"/>
  <c r="AJ67" i="13"/>
  <c r="AK67" i="13" s="1"/>
  <c r="AJ66" i="13"/>
  <c r="AK66" i="13" s="1"/>
  <c r="AJ65" i="13"/>
  <c r="AK65" i="13" s="1"/>
  <c r="AJ64" i="13"/>
  <c r="AK64" i="13" s="1"/>
  <c r="AJ63" i="13"/>
  <c r="AK63" i="13" s="1"/>
  <c r="AJ62" i="13"/>
  <c r="AK62" i="13" s="1"/>
  <c r="AJ61" i="13"/>
  <c r="AK61" i="13" s="1"/>
  <c r="AJ60" i="13"/>
  <c r="AK60" i="13" s="1"/>
  <c r="AJ59" i="13"/>
  <c r="AK59" i="13" s="1"/>
  <c r="AJ58" i="13"/>
  <c r="AK58" i="13" s="1"/>
  <c r="AJ57" i="13"/>
  <c r="AK57" i="13" s="1"/>
  <c r="AJ56" i="13"/>
  <c r="AK56" i="13" s="1"/>
  <c r="AJ55" i="13"/>
  <c r="AK55" i="13" s="1"/>
  <c r="AJ54" i="13"/>
  <c r="AK54" i="13" s="1"/>
  <c r="AJ53" i="13"/>
  <c r="AK53" i="13" s="1"/>
  <c r="AJ52" i="13"/>
  <c r="AK52" i="13" s="1"/>
  <c r="AJ51" i="13"/>
  <c r="AK51" i="13" s="1"/>
  <c r="AJ50" i="13"/>
  <c r="AK50" i="13" s="1"/>
  <c r="AJ49" i="13"/>
  <c r="AK49" i="13" s="1"/>
  <c r="AJ48" i="13"/>
  <c r="AK48" i="13" s="1"/>
  <c r="AJ47" i="13"/>
  <c r="AK47" i="13" s="1"/>
  <c r="AJ46" i="13"/>
  <c r="AK46" i="13" s="1"/>
  <c r="AJ45" i="13"/>
  <c r="AK45" i="13" s="1"/>
  <c r="AJ44" i="13"/>
  <c r="AK44" i="13" s="1"/>
  <c r="AJ43" i="13"/>
  <c r="AK43" i="13" s="1"/>
  <c r="AJ42" i="13"/>
  <c r="AK42" i="13" s="1"/>
  <c r="AJ41" i="13"/>
  <c r="AK41" i="13" s="1"/>
  <c r="AJ40" i="13"/>
  <c r="AK40" i="13" s="1"/>
  <c r="AJ39" i="13"/>
  <c r="AK39" i="13" s="1"/>
  <c r="AJ38" i="13"/>
  <c r="AK38" i="13" s="1"/>
  <c r="AJ37" i="13"/>
  <c r="AK37" i="13" s="1"/>
  <c r="AJ36" i="13"/>
  <c r="AK36" i="13" s="1"/>
  <c r="AJ35" i="13"/>
  <c r="AK35" i="13" s="1"/>
  <c r="AJ34" i="13"/>
  <c r="AK34" i="13" s="1"/>
  <c r="AJ33" i="13"/>
  <c r="AK33" i="13" s="1"/>
  <c r="AJ32" i="13"/>
  <c r="AK32" i="13" s="1"/>
  <c r="AJ31" i="13"/>
  <c r="AK31" i="13" s="1"/>
  <c r="AJ30" i="13"/>
  <c r="AK30" i="13" s="1"/>
  <c r="AJ29" i="13"/>
  <c r="AK29" i="13" s="1"/>
  <c r="AJ28" i="13"/>
  <c r="AK28" i="13" s="1"/>
  <c r="AJ27" i="13"/>
  <c r="AK27" i="13" s="1"/>
  <c r="AJ26" i="13"/>
  <c r="AK26" i="13" s="1"/>
  <c r="AJ25" i="13"/>
  <c r="AK25" i="13" s="1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AI13" i="13"/>
  <c r="AI16" i="13" s="1"/>
  <c r="AI17" i="13" s="1"/>
  <c r="AH13" i="13"/>
  <c r="AH16" i="13" s="1"/>
  <c r="AH17" i="13" s="1"/>
  <c r="AG13" i="13"/>
  <c r="AG16" i="13" s="1"/>
  <c r="AG17" i="13" s="1"/>
  <c r="AF13" i="13"/>
  <c r="AF16" i="13" s="1"/>
  <c r="AF17" i="13" s="1"/>
  <c r="AE13" i="13"/>
  <c r="AE16" i="13" s="1"/>
  <c r="AE17" i="13" s="1"/>
  <c r="AD13" i="13"/>
  <c r="AD16" i="13" s="1"/>
  <c r="AD17" i="13" s="1"/>
  <c r="AC13" i="13"/>
  <c r="AC16" i="13" s="1"/>
  <c r="AC17" i="13" s="1"/>
  <c r="AB13" i="13"/>
  <c r="AB16" i="13" s="1"/>
  <c r="AB17" i="13" s="1"/>
  <c r="AA13" i="13"/>
  <c r="AA16" i="13" s="1"/>
  <c r="AA17" i="13" s="1"/>
  <c r="Z13" i="13"/>
  <c r="Z16" i="13" s="1"/>
  <c r="Z17" i="13" s="1"/>
  <c r="Y13" i="13"/>
  <c r="Y16" i="13" s="1"/>
  <c r="Y17" i="13" s="1"/>
  <c r="X13" i="13"/>
  <c r="X16" i="13" s="1"/>
  <c r="X17" i="13" s="1"/>
  <c r="W13" i="13"/>
  <c r="W16" i="13" s="1"/>
  <c r="W17" i="13" s="1"/>
  <c r="V13" i="13"/>
  <c r="V16" i="13" s="1"/>
  <c r="V17" i="13" s="1"/>
  <c r="U13" i="13"/>
  <c r="U16" i="13" s="1"/>
  <c r="U17" i="13" s="1"/>
  <c r="T13" i="13"/>
  <c r="T16" i="13" s="1"/>
  <c r="T17" i="13" s="1"/>
  <c r="S13" i="13"/>
  <c r="S16" i="13" s="1"/>
  <c r="S17" i="13" s="1"/>
  <c r="R13" i="13"/>
  <c r="R16" i="13" s="1"/>
  <c r="R17" i="13" s="1"/>
  <c r="Q13" i="13"/>
  <c r="Q16" i="13" s="1"/>
  <c r="Q17" i="13" s="1"/>
  <c r="P13" i="13"/>
  <c r="P16" i="13" s="1"/>
  <c r="P17" i="13" s="1"/>
  <c r="O13" i="13"/>
  <c r="O16" i="13" s="1"/>
  <c r="O17" i="13" s="1"/>
  <c r="N13" i="13"/>
  <c r="N16" i="13" s="1"/>
  <c r="N17" i="13" s="1"/>
  <c r="M13" i="13"/>
  <c r="M16" i="13" s="1"/>
  <c r="M17" i="13" s="1"/>
  <c r="L13" i="13"/>
  <c r="L16" i="13" s="1"/>
  <c r="L17" i="13" s="1"/>
  <c r="K13" i="13"/>
  <c r="K16" i="13" s="1"/>
  <c r="K17" i="13" s="1"/>
  <c r="J13" i="13"/>
  <c r="J16" i="13" s="1"/>
  <c r="J17" i="13" s="1"/>
  <c r="I13" i="13"/>
  <c r="I16" i="13" s="1"/>
  <c r="I17" i="13" s="1"/>
  <c r="H13" i="13"/>
  <c r="H16" i="13" s="1"/>
  <c r="H17" i="13" s="1"/>
  <c r="G13" i="13"/>
  <c r="G16" i="13" s="1"/>
  <c r="G17" i="13" s="1"/>
  <c r="F13" i="13"/>
  <c r="F16" i="13" s="1"/>
  <c r="F17" i="13" s="1"/>
  <c r="E13" i="13"/>
  <c r="E16" i="13" s="1"/>
  <c r="R5" i="13"/>
  <c r="AJ17" i="13" l="1"/>
  <c r="AK17" i="13"/>
  <c r="E17" i="13"/>
  <c r="D17" i="13" s="1"/>
  <c r="C17" i="13" s="1"/>
  <c r="AI81" i="12"/>
  <c r="AJ81" i="12" s="1"/>
  <c r="AI80" i="12"/>
  <c r="AJ80" i="12" s="1"/>
  <c r="AI79" i="12"/>
  <c r="AJ79" i="12" s="1"/>
  <c r="AI78" i="12"/>
  <c r="AJ78" i="12" s="1"/>
  <c r="AI77" i="12"/>
  <c r="AJ77" i="12" s="1"/>
  <c r="AI76" i="12"/>
  <c r="AJ76" i="12" s="1"/>
  <c r="AI75" i="12"/>
  <c r="AJ75" i="12" s="1"/>
  <c r="AI74" i="12"/>
  <c r="AJ74" i="12" s="1"/>
  <c r="AI73" i="12"/>
  <c r="AJ73" i="12" s="1"/>
  <c r="AI72" i="12"/>
  <c r="AJ72" i="12" s="1"/>
  <c r="AI71" i="12"/>
  <c r="AJ71" i="12" s="1"/>
  <c r="AI70" i="12"/>
  <c r="AJ70" i="12" s="1"/>
  <c r="AI69" i="12"/>
  <c r="AJ69" i="12" s="1"/>
  <c r="AI68" i="12"/>
  <c r="AJ68" i="12" s="1"/>
  <c r="AI67" i="12"/>
  <c r="AJ67" i="12" s="1"/>
  <c r="AI66" i="12"/>
  <c r="AJ66" i="12" s="1"/>
  <c r="AI65" i="12"/>
  <c r="AJ65" i="12" s="1"/>
  <c r="AI64" i="12"/>
  <c r="AJ64" i="12" s="1"/>
  <c r="AI63" i="12"/>
  <c r="AJ63" i="12" s="1"/>
  <c r="AI62" i="12"/>
  <c r="AJ62" i="12" s="1"/>
  <c r="AI61" i="12"/>
  <c r="AJ61" i="12" s="1"/>
  <c r="AI60" i="12"/>
  <c r="AJ60" i="12" s="1"/>
  <c r="AI59" i="12"/>
  <c r="AJ59" i="12" s="1"/>
  <c r="AI58" i="12"/>
  <c r="AJ58" i="12" s="1"/>
  <c r="AI57" i="12"/>
  <c r="AJ57" i="12" s="1"/>
  <c r="AI56" i="12"/>
  <c r="AJ56" i="12" s="1"/>
  <c r="AI55" i="12"/>
  <c r="AJ55" i="12" s="1"/>
  <c r="AI54" i="12"/>
  <c r="AJ54" i="12" s="1"/>
  <c r="AI53" i="12"/>
  <c r="AJ53" i="12" s="1"/>
  <c r="AI52" i="12"/>
  <c r="AJ52" i="12" s="1"/>
  <c r="AI51" i="12"/>
  <c r="AJ51" i="12" s="1"/>
  <c r="AI50" i="12"/>
  <c r="AJ50" i="12" s="1"/>
  <c r="AI49" i="12"/>
  <c r="AJ49" i="12" s="1"/>
  <c r="AI48" i="12"/>
  <c r="AJ48" i="12" s="1"/>
  <c r="AI47" i="12"/>
  <c r="AJ47" i="12" s="1"/>
  <c r="AI46" i="12"/>
  <c r="AJ46" i="12" s="1"/>
  <c r="AI45" i="12"/>
  <c r="AJ45" i="12" s="1"/>
  <c r="AI44" i="12"/>
  <c r="AJ44" i="12" s="1"/>
  <c r="AI43" i="12"/>
  <c r="AJ43" i="12" s="1"/>
  <c r="AI42" i="12"/>
  <c r="AJ42" i="12" s="1"/>
  <c r="AI41" i="12"/>
  <c r="AJ41" i="12" s="1"/>
  <c r="AI40" i="12"/>
  <c r="AJ40" i="12" s="1"/>
  <c r="AI39" i="12"/>
  <c r="AJ39" i="12" s="1"/>
  <c r="AI38" i="12"/>
  <c r="AJ38" i="12" s="1"/>
  <c r="AI37" i="12"/>
  <c r="AJ37" i="12" s="1"/>
  <c r="AI36" i="12"/>
  <c r="AJ36" i="12" s="1"/>
  <c r="AI35" i="12"/>
  <c r="AJ35" i="12" s="1"/>
  <c r="AI34" i="12"/>
  <c r="AJ34" i="12" s="1"/>
  <c r="AI33" i="12"/>
  <c r="AJ33" i="12" s="1"/>
  <c r="AI32" i="12"/>
  <c r="AJ32" i="12" s="1"/>
  <c r="AI31" i="12"/>
  <c r="AJ31" i="12" s="1"/>
  <c r="AI30" i="12"/>
  <c r="AJ30" i="12" s="1"/>
  <c r="AI29" i="12"/>
  <c r="AJ29" i="12" s="1"/>
  <c r="AI28" i="12"/>
  <c r="AJ28" i="12" s="1"/>
  <c r="AI27" i="12"/>
  <c r="AJ27" i="12" s="1"/>
  <c r="AI26" i="12"/>
  <c r="AJ26" i="12" s="1"/>
  <c r="AI25" i="12"/>
  <c r="AJ25" i="12" s="1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AH14" i="12"/>
  <c r="AG14" i="12"/>
  <c r="AG16" i="12" s="1"/>
  <c r="AG17" i="12" s="1"/>
  <c r="AF14" i="12"/>
  <c r="AE14" i="12"/>
  <c r="AE16" i="12" s="1"/>
  <c r="AE17" i="12" s="1"/>
  <c r="AD14" i="12"/>
  <c r="AC14" i="12"/>
  <c r="AC16" i="12" s="1"/>
  <c r="AC17" i="12" s="1"/>
  <c r="AB14" i="12"/>
  <c r="AA14" i="12"/>
  <c r="AA16" i="12" s="1"/>
  <c r="AA17" i="12" s="1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AH13" i="12"/>
  <c r="AH16" i="12" s="1"/>
  <c r="AH17" i="12" s="1"/>
  <c r="AG13" i="12"/>
  <c r="AF13" i="12"/>
  <c r="AF16" i="12" s="1"/>
  <c r="AF17" i="12" s="1"/>
  <c r="AE13" i="12"/>
  <c r="AD13" i="12"/>
  <c r="AD16" i="12" s="1"/>
  <c r="AD17" i="12" s="1"/>
  <c r="AC13" i="12"/>
  <c r="AB13" i="12"/>
  <c r="AB16" i="12" s="1"/>
  <c r="AB17" i="12" s="1"/>
  <c r="AA13" i="12"/>
  <c r="Z13" i="12"/>
  <c r="Z16" i="12" s="1"/>
  <c r="Z17" i="12" s="1"/>
  <c r="Y13" i="12"/>
  <c r="Y16" i="12" s="1"/>
  <c r="Y17" i="12" s="1"/>
  <c r="X13" i="12"/>
  <c r="X16" i="12" s="1"/>
  <c r="X17" i="12" s="1"/>
  <c r="W13" i="12"/>
  <c r="W16" i="12" s="1"/>
  <c r="W17" i="12" s="1"/>
  <c r="V13" i="12"/>
  <c r="V16" i="12" s="1"/>
  <c r="V17" i="12" s="1"/>
  <c r="U13" i="12"/>
  <c r="U16" i="12" s="1"/>
  <c r="U17" i="12" s="1"/>
  <c r="T13" i="12"/>
  <c r="T16" i="12" s="1"/>
  <c r="T17" i="12" s="1"/>
  <c r="S13" i="12"/>
  <c r="S16" i="12" s="1"/>
  <c r="S17" i="12" s="1"/>
  <c r="R13" i="12"/>
  <c r="R16" i="12" s="1"/>
  <c r="R17" i="12" s="1"/>
  <c r="Q13" i="12"/>
  <c r="Q16" i="12" s="1"/>
  <c r="Q17" i="12" s="1"/>
  <c r="P13" i="12"/>
  <c r="P16" i="12" s="1"/>
  <c r="P17" i="12" s="1"/>
  <c r="O13" i="12"/>
  <c r="O16" i="12" s="1"/>
  <c r="O17" i="12" s="1"/>
  <c r="N13" i="12"/>
  <c r="N16" i="12" s="1"/>
  <c r="N17" i="12" s="1"/>
  <c r="M13" i="12"/>
  <c r="M16" i="12" s="1"/>
  <c r="M17" i="12" s="1"/>
  <c r="L13" i="12"/>
  <c r="L16" i="12" s="1"/>
  <c r="L17" i="12" s="1"/>
  <c r="K13" i="12"/>
  <c r="K16" i="12" s="1"/>
  <c r="K17" i="12" s="1"/>
  <c r="J13" i="12"/>
  <c r="J16" i="12" s="1"/>
  <c r="J17" i="12" s="1"/>
  <c r="I13" i="12"/>
  <c r="I16" i="12" s="1"/>
  <c r="I17" i="12" s="1"/>
  <c r="H13" i="12"/>
  <c r="H16" i="12" s="1"/>
  <c r="H17" i="12" s="1"/>
  <c r="G13" i="12"/>
  <c r="G16" i="12" s="1"/>
  <c r="G17" i="12" s="1"/>
  <c r="F13" i="12"/>
  <c r="F16" i="12" s="1"/>
  <c r="F17" i="12" s="1"/>
  <c r="E13" i="12"/>
  <c r="E16" i="12" s="1"/>
  <c r="R5" i="12"/>
  <c r="AJ81" i="11"/>
  <c r="AK81" i="11" s="1"/>
  <c r="AJ80" i="11"/>
  <c r="AK80" i="11" s="1"/>
  <c r="AJ79" i="11"/>
  <c r="AK79" i="11" s="1"/>
  <c r="AJ78" i="11"/>
  <c r="AK78" i="11" s="1"/>
  <c r="AJ77" i="11"/>
  <c r="AK77" i="11" s="1"/>
  <c r="AJ76" i="11"/>
  <c r="AK76" i="11" s="1"/>
  <c r="AJ75" i="11"/>
  <c r="AK75" i="11" s="1"/>
  <c r="AJ74" i="11"/>
  <c r="AK74" i="11" s="1"/>
  <c r="AJ73" i="11"/>
  <c r="AK73" i="11" s="1"/>
  <c r="AJ72" i="11"/>
  <c r="AK72" i="11" s="1"/>
  <c r="AJ71" i="11"/>
  <c r="AK71" i="11" s="1"/>
  <c r="AJ70" i="11"/>
  <c r="AK70" i="11" s="1"/>
  <c r="AJ69" i="11"/>
  <c r="AK69" i="11" s="1"/>
  <c r="AJ68" i="11"/>
  <c r="AK68" i="11" s="1"/>
  <c r="AJ67" i="11"/>
  <c r="AK67" i="11" s="1"/>
  <c r="AJ66" i="11"/>
  <c r="AK66" i="11" s="1"/>
  <c r="AJ65" i="11"/>
  <c r="AK65" i="11" s="1"/>
  <c r="AJ64" i="11"/>
  <c r="AK64" i="11" s="1"/>
  <c r="AJ63" i="11"/>
  <c r="AK63" i="11" s="1"/>
  <c r="AJ62" i="11"/>
  <c r="AK62" i="11" s="1"/>
  <c r="AJ61" i="11"/>
  <c r="AK61" i="11" s="1"/>
  <c r="AJ60" i="11"/>
  <c r="AK60" i="11" s="1"/>
  <c r="AJ59" i="11"/>
  <c r="AK59" i="11" s="1"/>
  <c r="AJ58" i="11"/>
  <c r="AK58" i="11" s="1"/>
  <c r="AJ57" i="11"/>
  <c r="AK57" i="11" s="1"/>
  <c r="AJ56" i="11"/>
  <c r="AK56" i="11" s="1"/>
  <c r="AJ55" i="11"/>
  <c r="AK55" i="11" s="1"/>
  <c r="AJ54" i="11"/>
  <c r="AK54" i="11" s="1"/>
  <c r="AJ53" i="11"/>
  <c r="AK53" i="11" s="1"/>
  <c r="AJ52" i="11"/>
  <c r="AK52" i="11" s="1"/>
  <c r="AJ51" i="11"/>
  <c r="AK51" i="11" s="1"/>
  <c r="AJ50" i="11"/>
  <c r="AK50" i="11" s="1"/>
  <c r="AJ49" i="11"/>
  <c r="AK49" i="11" s="1"/>
  <c r="AJ48" i="11"/>
  <c r="AK48" i="11" s="1"/>
  <c r="AJ47" i="11"/>
  <c r="AK47" i="11" s="1"/>
  <c r="AJ46" i="11"/>
  <c r="AK46" i="11" s="1"/>
  <c r="AJ45" i="11"/>
  <c r="AK45" i="11" s="1"/>
  <c r="AJ44" i="11"/>
  <c r="AK44" i="11" s="1"/>
  <c r="AJ43" i="11"/>
  <c r="AK43" i="11" s="1"/>
  <c r="AJ42" i="11"/>
  <c r="AK42" i="11" s="1"/>
  <c r="AJ41" i="11"/>
  <c r="AK41" i="11" s="1"/>
  <c r="AJ40" i="11"/>
  <c r="AK40" i="11" s="1"/>
  <c r="AJ39" i="11"/>
  <c r="AK39" i="11" s="1"/>
  <c r="AJ38" i="11"/>
  <c r="AK38" i="11" s="1"/>
  <c r="AJ37" i="11"/>
  <c r="AK37" i="11" s="1"/>
  <c r="AJ36" i="11"/>
  <c r="AK36" i="11" s="1"/>
  <c r="AJ35" i="11"/>
  <c r="AK35" i="11" s="1"/>
  <c r="AJ34" i="11"/>
  <c r="AK34" i="11" s="1"/>
  <c r="AJ33" i="11"/>
  <c r="AK33" i="11" s="1"/>
  <c r="AJ32" i="11"/>
  <c r="AK32" i="11" s="1"/>
  <c r="AJ31" i="11"/>
  <c r="AK31" i="11" s="1"/>
  <c r="AJ30" i="11"/>
  <c r="AK30" i="11" s="1"/>
  <c r="AJ29" i="11"/>
  <c r="AK29" i="11" s="1"/>
  <c r="AJ28" i="11"/>
  <c r="AK28" i="11" s="1"/>
  <c r="AJ27" i="11"/>
  <c r="AK27" i="11" s="1"/>
  <c r="AJ26" i="11"/>
  <c r="AK26" i="11" s="1"/>
  <c r="AJ2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AI13" i="11"/>
  <c r="AI16" i="11" s="1"/>
  <c r="AI17" i="11" s="1"/>
  <c r="AH13" i="11"/>
  <c r="AH16" i="11" s="1"/>
  <c r="AH17" i="11" s="1"/>
  <c r="AG13" i="11"/>
  <c r="AG16" i="11" s="1"/>
  <c r="AG17" i="11" s="1"/>
  <c r="AF13" i="11"/>
  <c r="AF16" i="11" s="1"/>
  <c r="AF17" i="11" s="1"/>
  <c r="AE13" i="11"/>
  <c r="AE16" i="11" s="1"/>
  <c r="AE17" i="11" s="1"/>
  <c r="AD13" i="11"/>
  <c r="AD16" i="11" s="1"/>
  <c r="AD17" i="11" s="1"/>
  <c r="AC13" i="11"/>
  <c r="AC16" i="11" s="1"/>
  <c r="AC17" i="11" s="1"/>
  <c r="AB13" i="11"/>
  <c r="AB16" i="11" s="1"/>
  <c r="AB17" i="11" s="1"/>
  <c r="AA13" i="11"/>
  <c r="AA16" i="11" s="1"/>
  <c r="AA17" i="11" s="1"/>
  <c r="Z13" i="11"/>
  <c r="Z16" i="11" s="1"/>
  <c r="Z17" i="11" s="1"/>
  <c r="Y13" i="11"/>
  <c r="Y16" i="11" s="1"/>
  <c r="Y17" i="11" s="1"/>
  <c r="X13" i="11"/>
  <c r="X16" i="11" s="1"/>
  <c r="X17" i="11" s="1"/>
  <c r="W13" i="11"/>
  <c r="W16" i="11" s="1"/>
  <c r="W17" i="11" s="1"/>
  <c r="V13" i="11"/>
  <c r="V16" i="11" s="1"/>
  <c r="V17" i="11" s="1"/>
  <c r="U13" i="11"/>
  <c r="U16" i="11" s="1"/>
  <c r="U17" i="11" s="1"/>
  <c r="T13" i="11"/>
  <c r="T16" i="11" s="1"/>
  <c r="T17" i="11" s="1"/>
  <c r="S13" i="11"/>
  <c r="S16" i="11" s="1"/>
  <c r="S17" i="11" s="1"/>
  <c r="R13" i="11"/>
  <c r="R16" i="11" s="1"/>
  <c r="R17" i="11" s="1"/>
  <c r="Q13" i="11"/>
  <c r="Q16" i="11" s="1"/>
  <c r="Q17" i="11" s="1"/>
  <c r="P13" i="11"/>
  <c r="P16" i="11" s="1"/>
  <c r="P17" i="11" s="1"/>
  <c r="O13" i="11"/>
  <c r="O16" i="11" s="1"/>
  <c r="O17" i="11" s="1"/>
  <c r="N13" i="11"/>
  <c r="N16" i="11" s="1"/>
  <c r="N17" i="11" s="1"/>
  <c r="M13" i="11"/>
  <c r="M16" i="11" s="1"/>
  <c r="M17" i="11" s="1"/>
  <c r="L13" i="11"/>
  <c r="L16" i="11" s="1"/>
  <c r="L17" i="11" s="1"/>
  <c r="K13" i="11"/>
  <c r="K16" i="11" s="1"/>
  <c r="K17" i="11" s="1"/>
  <c r="J13" i="11"/>
  <c r="J16" i="11" s="1"/>
  <c r="J17" i="11" s="1"/>
  <c r="I13" i="11"/>
  <c r="I16" i="11" s="1"/>
  <c r="I17" i="11" s="1"/>
  <c r="H13" i="11"/>
  <c r="H16" i="11" s="1"/>
  <c r="H17" i="11" s="1"/>
  <c r="G13" i="11"/>
  <c r="G16" i="11" s="1"/>
  <c r="G17" i="11" s="1"/>
  <c r="F13" i="11"/>
  <c r="F16" i="11" s="1"/>
  <c r="F17" i="11" s="1"/>
  <c r="E13" i="11"/>
  <c r="E16" i="11" s="1"/>
  <c r="R5" i="11"/>
  <c r="AI17" i="12" l="1"/>
  <c r="AJ17" i="12"/>
  <c r="E17" i="12"/>
  <c r="D17" i="12" s="1"/>
  <c r="C17" i="12" s="1"/>
  <c r="E17" i="11"/>
  <c r="D17" i="11" s="1"/>
  <c r="C17" i="11" s="1"/>
  <c r="AK25" i="11"/>
  <c r="AK17" i="11" s="1"/>
  <c r="AJ17" i="11"/>
  <c r="AJ81" i="10"/>
  <c r="AK81" i="10" s="1"/>
  <c r="AJ80" i="10"/>
  <c r="AK80" i="10" s="1"/>
  <c r="AJ79" i="10"/>
  <c r="AK79" i="10" s="1"/>
  <c r="AJ78" i="10"/>
  <c r="AK78" i="10" s="1"/>
  <c r="AJ77" i="10"/>
  <c r="AK77" i="10" s="1"/>
  <c r="AJ76" i="10"/>
  <c r="AK76" i="10" s="1"/>
  <c r="AJ75" i="10"/>
  <c r="AK75" i="10" s="1"/>
  <c r="AJ74" i="10"/>
  <c r="AK74" i="10" s="1"/>
  <c r="AJ73" i="10"/>
  <c r="AK73" i="10" s="1"/>
  <c r="AJ72" i="10"/>
  <c r="AK72" i="10" s="1"/>
  <c r="AJ71" i="10"/>
  <c r="AK71" i="10" s="1"/>
  <c r="AJ70" i="10"/>
  <c r="AK70" i="10" s="1"/>
  <c r="AJ69" i="10"/>
  <c r="AK69" i="10" s="1"/>
  <c r="AJ68" i="10"/>
  <c r="AK68" i="10" s="1"/>
  <c r="AJ67" i="10"/>
  <c r="AK67" i="10" s="1"/>
  <c r="AJ66" i="10"/>
  <c r="AK66" i="10" s="1"/>
  <c r="AJ65" i="10"/>
  <c r="AK65" i="10" s="1"/>
  <c r="AJ64" i="10"/>
  <c r="AK64" i="10" s="1"/>
  <c r="AJ63" i="10"/>
  <c r="AK63" i="10" s="1"/>
  <c r="AJ62" i="10"/>
  <c r="AK62" i="10" s="1"/>
  <c r="AJ61" i="10"/>
  <c r="AK61" i="10" s="1"/>
  <c r="AJ60" i="10"/>
  <c r="AK60" i="10" s="1"/>
  <c r="AJ59" i="10"/>
  <c r="AK59" i="10" s="1"/>
  <c r="AJ58" i="10"/>
  <c r="AK58" i="10" s="1"/>
  <c r="AJ57" i="10"/>
  <c r="AK57" i="10" s="1"/>
  <c r="AJ56" i="10"/>
  <c r="AK56" i="10" s="1"/>
  <c r="AJ55" i="10"/>
  <c r="AK55" i="10" s="1"/>
  <c r="AJ54" i="10"/>
  <c r="AK54" i="10" s="1"/>
  <c r="AJ53" i="10"/>
  <c r="AK53" i="10" s="1"/>
  <c r="AJ52" i="10"/>
  <c r="AK52" i="10" s="1"/>
  <c r="AJ51" i="10"/>
  <c r="AK51" i="10" s="1"/>
  <c r="AJ50" i="10"/>
  <c r="AK50" i="10" s="1"/>
  <c r="AJ49" i="10"/>
  <c r="AK49" i="10" s="1"/>
  <c r="AJ48" i="10"/>
  <c r="AK48" i="10" s="1"/>
  <c r="AJ47" i="10"/>
  <c r="AK47" i="10" s="1"/>
  <c r="AJ46" i="10"/>
  <c r="AK46" i="10" s="1"/>
  <c r="AJ45" i="10"/>
  <c r="AK45" i="10" s="1"/>
  <c r="AJ44" i="10"/>
  <c r="AK44" i="10" s="1"/>
  <c r="AJ43" i="10"/>
  <c r="AK43" i="10" s="1"/>
  <c r="AJ42" i="10"/>
  <c r="AK42" i="10" s="1"/>
  <c r="AJ41" i="10"/>
  <c r="AK41" i="10" s="1"/>
  <c r="AJ40" i="10"/>
  <c r="AK40" i="10" s="1"/>
  <c r="AJ39" i="10"/>
  <c r="AK39" i="10" s="1"/>
  <c r="AJ38" i="10"/>
  <c r="AK38" i="10" s="1"/>
  <c r="AJ37" i="10"/>
  <c r="AK37" i="10" s="1"/>
  <c r="AJ36" i="10"/>
  <c r="AK36" i="10" s="1"/>
  <c r="AJ35" i="10"/>
  <c r="AK35" i="10" s="1"/>
  <c r="AJ34" i="10"/>
  <c r="AK34" i="10" s="1"/>
  <c r="AJ33" i="10"/>
  <c r="AK33" i="10" s="1"/>
  <c r="AJ32" i="10"/>
  <c r="AK32" i="10" s="1"/>
  <c r="AJ31" i="10"/>
  <c r="AK31" i="10" s="1"/>
  <c r="AJ30" i="10"/>
  <c r="AK30" i="10" s="1"/>
  <c r="AJ29" i="10"/>
  <c r="AK29" i="10" s="1"/>
  <c r="AJ28" i="10"/>
  <c r="AK28" i="10" s="1"/>
  <c r="AJ27" i="10"/>
  <c r="AK27" i="10" s="1"/>
  <c r="AJ26" i="10"/>
  <c r="AK26" i="10" s="1"/>
  <c r="AJ25" i="10"/>
  <c r="AK25" i="10" s="1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AI13" i="10"/>
  <c r="AI16" i="10" s="1"/>
  <c r="AI17" i="10" s="1"/>
  <c r="AH13" i="10"/>
  <c r="AH16" i="10" s="1"/>
  <c r="AH17" i="10" s="1"/>
  <c r="AG13" i="10"/>
  <c r="AG16" i="10" s="1"/>
  <c r="AG17" i="10" s="1"/>
  <c r="AF13" i="10"/>
  <c r="AF16" i="10" s="1"/>
  <c r="AF17" i="10" s="1"/>
  <c r="AE13" i="10"/>
  <c r="AE16" i="10" s="1"/>
  <c r="AE17" i="10" s="1"/>
  <c r="AD13" i="10"/>
  <c r="AD16" i="10" s="1"/>
  <c r="AD17" i="10" s="1"/>
  <c r="AC13" i="10"/>
  <c r="AC16" i="10" s="1"/>
  <c r="AC17" i="10" s="1"/>
  <c r="AB13" i="10"/>
  <c r="AB16" i="10" s="1"/>
  <c r="AB17" i="10" s="1"/>
  <c r="AA13" i="10"/>
  <c r="AA16" i="10" s="1"/>
  <c r="AA17" i="10" s="1"/>
  <c r="Z13" i="10"/>
  <c r="Z16" i="10" s="1"/>
  <c r="Z17" i="10" s="1"/>
  <c r="Y13" i="10"/>
  <c r="Y16" i="10" s="1"/>
  <c r="Y17" i="10" s="1"/>
  <c r="X13" i="10"/>
  <c r="X16" i="10" s="1"/>
  <c r="X17" i="10" s="1"/>
  <c r="W13" i="10"/>
  <c r="W16" i="10" s="1"/>
  <c r="W17" i="10" s="1"/>
  <c r="V13" i="10"/>
  <c r="V16" i="10" s="1"/>
  <c r="V17" i="10" s="1"/>
  <c r="U13" i="10"/>
  <c r="U16" i="10" s="1"/>
  <c r="U17" i="10" s="1"/>
  <c r="T13" i="10"/>
  <c r="T16" i="10" s="1"/>
  <c r="T17" i="10" s="1"/>
  <c r="S13" i="10"/>
  <c r="S16" i="10" s="1"/>
  <c r="S17" i="10" s="1"/>
  <c r="R13" i="10"/>
  <c r="R16" i="10" s="1"/>
  <c r="R17" i="10" s="1"/>
  <c r="Q13" i="10"/>
  <c r="Q16" i="10" s="1"/>
  <c r="Q17" i="10" s="1"/>
  <c r="P13" i="10"/>
  <c r="P16" i="10" s="1"/>
  <c r="P17" i="10" s="1"/>
  <c r="O13" i="10"/>
  <c r="O16" i="10" s="1"/>
  <c r="O17" i="10" s="1"/>
  <c r="N13" i="10"/>
  <c r="N16" i="10" s="1"/>
  <c r="N17" i="10" s="1"/>
  <c r="M13" i="10"/>
  <c r="M16" i="10" s="1"/>
  <c r="M17" i="10" s="1"/>
  <c r="L13" i="10"/>
  <c r="L16" i="10" s="1"/>
  <c r="L17" i="10" s="1"/>
  <c r="K13" i="10"/>
  <c r="K16" i="10" s="1"/>
  <c r="K17" i="10" s="1"/>
  <c r="J13" i="10"/>
  <c r="J16" i="10" s="1"/>
  <c r="J17" i="10" s="1"/>
  <c r="I13" i="10"/>
  <c r="I16" i="10" s="1"/>
  <c r="I17" i="10" s="1"/>
  <c r="H13" i="10"/>
  <c r="H16" i="10" s="1"/>
  <c r="H17" i="10" s="1"/>
  <c r="G13" i="10"/>
  <c r="G16" i="10" s="1"/>
  <c r="G17" i="10" s="1"/>
  <c r="F13" i="10"/>
  <c r="F16" i="10" s="1"/>
  <c r="F17" i="10" s="1"/>
  <c r="E13" i="10"/>
  <c r="E16" i="10" s="1"/>
  <c r="R5" i="10"/>
  <c r="AJ17" i="10" l="1"/>
  <c r="AK17" i="10"/>
  <c r="E17" i="10"/>
  <c r="D17" i="10" s="1"/>
  <c r="C17" i="10" s="1"/>
  <c r="AH25" i="9"/>
  <c r="AI25" i="9" s="1"/>
  <c r="AH26" i="9"/>
  <c r="AI26" i="9" s="1"/>
  <c r="AH27" i="9"/>
  <c r="AI27" i="9" s="1"/>
  <c r="AH28" i="9"/>
  <c r="AI28" i="9" s="1"/>
  <c r="AH29" i="9"/>
  <c r="AI29" i="9" s="1"/>
  <c r="AH30" i="9"/>
  <c r="AI30" i="9" s="1"/>
  <c r="AH31" i="9"/>
  <c r="AI31" i="9" s="1"/>
  <c r="AH32" i="9"/>
  <c r="AI32" i="9" s="1"/>
  <c r="AH33" i="9"/>
  <c r="AI33" i="9" s="1"/>
  <c r="AH34" i="9"/>
  <c r="AI34" i="9" s="1"/>
  <c r="AH35" i="9"/>
  <c r="AI35" i="9" s="1"/>
  <c r="AH36" i="9"/>
  <c r="AI36" i="9" s="1"/>
  <c r="AH37" i="9"/>
  <c r="AI37" i="9" s="1"/>
  <c r="AH38" i="9"/>
  <c r="AI38" i="9" s="1"/>
  <c r="AH39" i="9"/>
  <c r="AI39" i="9" s="1"/>
  <c r="AH40" i="9"/>
  <c r="AI40" i="9" s="1"/>
  <c r="AH41" i="9"/>
  <c r="AI41" i="9" s="1"/>
  <c r="AH42" i="9"/>
  <c r="AI42" i="9" s="1"/>
  <c r="AH43" i="9"/>
  <c r="AI43" i="9" s="1"/>
  <c r="AH44" i="9"/>
  <c r="AI44" i="9" s="1"/>
  <c r="AH45" i="9"/>
  <c r="AI45" i="9" s="1"/>
  <c r="AH46" i="9"/>
  <c r="AI46" i="9" s="1"/>
  <c r="AH47" i="9"/>
  <c r="AI47" i="9" s="1"/>
  <c r="AH48" i="9"/>
  <c r="AI48" i="9" s="1"/>
  <c r="AH49" i="9"/>
  <c r="AI49" i="9" s="1"/>
  <c r="AH50" i="9"/>
  <c r="AI50" i="9" s="1"/>
  <c r="AH51" i="9"/>
  <c r="AI51" i="9" s="1"/>
  <c r="AH52" i="9"/>
  <c r="AI52" i="9" s="1"/>
  <c r="AH53" i="9"/>
  <c r="AI53" i="9" s="1"/>
  <c r="AH54" i="9"/>
  <c r="AI54" i="9" s="1"/>
  <c r="AH55" i="9"/>
  <c r="AI55" i="9" s="1"/>
  <c r="AH56" i="9"/>
  <c r="AI56" i="9" s="1"/>
  <c r="AH57" i="9"/>
  <c r="AI57" i="9" s="1"/>
  <c r="AH58" i="9"/>
  <c r="AI58" i="9" s="1"/>
  <c r="AH59" i="9"/>
  <c r="AI59" i="9" s="1"/>
  <c r="AH60" i="9"/>
  <c r="AI60" i="9" s="1"/>
  <c r="AH61" i="9"/>
  <c r="AI61" i="9" s="1"/>
  <c r="AH62" i="9"/>
  <c r="AI62" i="9" s="1"/>
  <c r="AH63" i="9"/>
  <c r="AI63" i="9" s="1"/>
  <c r="AH64" i="9"/>
  <c r="AI64" i="9" s="1"/>
  <c r="AH65" i="9"/>
  <c r="AI65" i="9" s="1"/>
  <c r="AH66" i="9"/>
  <c r="AI66" i="9" s="1"/>
  <c r="AH67" i="9"/>
  <c r="AI67" i="9" s="1"/>
  <c r="AH68" i="9"/>
  <c r="AI68" i="9" s="1"/>
  <c r="AH69" i="9"/>
  <c r="AI69" i="9" s="1"/>
  <c r="AH70" i="9"/>
  <c r="AI70" i="9" s="1"/>
  <c r="AH71" i="9"/>
  <c r="AI71" i="9" s="1"/>
  <c r="AH72" i="9"/>
  <c r="AI72" i="9" s="1"/>
  <c r="AH73" i="9"/>
  <c r="AI73" i="9" s="1"/>
  <c r="AH74" i="9"/>
  <c r="AI74" i="9" s="1"/>
  <c r="AH75" i="9"/>
  <c r="AI75" i="9" s="1"/>
  <c r="AH76" i="9"/>
  <c r="AI76" i="9" s="1"/>
  <c r="AH77" i="9"/>
  <c r="AI77" i="9" s="1"/>
  <c r="AH78" i="9"/>
  <c r="AI78" i="9" s="1"/>
  <c r="AH79" i="9"/>
  <c r="AI79" i="9" s="1"/>
  <c r="AH80" i="9"/>
  <c r="AI80" i="9" s="1"/>
  <c r="AH81" i="9"/>
  <c r="AI81" i="9" s="1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AG13" i="9"/>
  <c r="AG16" i="9" s="1"/>
  <c r="AG17" i="9" s="1"/>
  <c r="AF13" i="9"/>
  <c r="AE13" i="9"/>
  <c r="AE16" i="9" s="1"/>
  <c r="AE17" i="9" s="1"/>
  <c r="AD13" i="9"/>
  <c r="AC13" i="9"/>
  <c r="AC16" i="9" s="1"/>
  <c r="AC17" i="9" s="1"/>
  <c r="AB13" i="9"/>
  <c r="AA13" i="9"/>
  <c r="AA16" i="9" s="1"/>
  <c r="AA17" i="9" s="1"/>
  <c r="Z13" i="9"/>
  <c r="Y13" i="9"/>
  <c r="Y16" i="9" s="1"/>
  <c r="Y17" i="9" s="1"/>
  <c r="X13" i="9"/>
  <c r="W13" i="9"/>
  <c r="W16" i="9" s="1"/>
  <c r="W17" i="9" s="1"/>
  <c r="V13" i="9"/>
  <c r="U13" i="9"/>
  <c r="U16" i="9" s="1"/>
  <c r="U17" i="9" s="1"/>
  <c r="T13" i="9"/>
  <c r="S13" i="9"/>
  <c r="S16" i="9" s="1"/>
  <c r="S17" i="9" s="1"/>
  <c r="R13" i="9"/>
  <c r="Q13" i="9"/>
  <c r="Q16" i="9" s="1"/>
  <c r="Q17" i="9" s="1"/>
  <c r="P13" i="9"/>
  <c r="O13" i="9"/>
  <c r="O16" i="9" s="1"/>
  <c r="O17" i="9" s="1"/>
  <c r="N13" i="9"/>
  <c r="M13" i="9"/>
  <c r="M16" i="9" s="1"/>
  <c r="M17" i="9" s="1"/>
  <c r="L13" i="9"/>
  <c r="K13" i="9"/>
  <c r="K16" i="9" s="1"/>
  <c r="K17" i="9" s="1"/>
  <c r="J13" i="9"/>
  <c r="I13" i="9"/>
  <c r="I16" i="9" s="1"/>
  <c r="I17" i="9" s="1"/>
  <c r="H13" i="9"/>
  <c r="G13" i="9"/>
  <c r="G16" i="9" s="1"/>
  <c r="G17" i="9" s="1"/>
  <c r="F13" i="9"/>
  <c r="E13" i="9"/>
  <c r="E16" i="9" s="1"/>
  <c r="R5" i="9"/>
  <c r="AJ81" i="8"/>
  <c r="AK81" i="8" s="1"/>
  <c r="AJ80" i="8"/>
  <c r="AK80" i="8" s="1"/>
  <c r="AJ79" i="8"/>
  <c r="AK79" i="8" s="1"/>
  <c r="AJ78" i="8"/>
  <c r="AK78" i="8" s="1"/>
  <c r="AJ77" i="8"/>
  <c r="AK77" i="8" s="1"/>
  <c r="AJ76" i="8"/>
  <c r="AK76" i="8" s="1"/>
  <c r="AJ75" i="8"/>
  <c r="AK75" i="8" s="1"/>
  <c r="AJ74" i="8"/>
  <c r="AK74" i="8" s="1"/>
  <c r="AJ73" i="8"/>
  <c r="AK73" i="8" s="1"/>
  <c r="AJ72" i="8"/>
  <c r="AK72" i="8" s="1"/>
  <c r="AJ71" i="8"/>
  <c r="AK71" i="8" s="1"/>
  <c r="AJ70" i="8"/>
  <c r="AK70" i="8" s="1"/>
  <c r="AJ69" i="8"/>
  <c r="AK69" i="8" s="1"/>
  <c r="AJ68" i="8"/>
  <c r="AK68" i="8" s="1"/>
  <c r="AJ67" i="8"/>
  <c r="AK67" i="8" s="1"/>
  <c r="AJ66" i="8"/>
  <c r="AK66" i="8" s="1"/>
  <c r="AJ65" i="8"/>
  <c r="AK65" i="8" s="1"/>
  <c r="AJ64" i="8"/>
  <c r="AK64" i="8" s="1"/>
  <c r="AJ63" i="8"/>
  <c r="AK63" i="8" s="1"/>
  <c r="AJ62" i="8"/>
  <c r="AK62" i="8" s="1"/>
  <c r="AJ61" i="8"/>
  <c r="AK61" i="8" s="1"/>
  <c r="AJ60" i="8"/>
  <c r="AK60" i="8" s="1"/>
  <c r="AJ59" i="8"/>
  <c r="AK59" i="8" s="1"/>
  <c r="AJ58" i="8"/>
  <c r="AK58" i="8" s="1"/>
  <c r="AJ57" i="8"/>
  <c r="AK57" i="8" s="1"/>
  <c r="AJ56" i="8"/>
  <c r="AK56" i="8" s="1"/>
  <c r="AJ55" i="8"/>
  <c r="AK55" i="8" s="1"/>
  <c r="AJ54" i="8"/>
  <c r="AK54" i="8" s="1"/>
  <c r="AJ53" i="8"/>
  <c r="AK53" i="8" s="1"/>
  <c r="AJ52" i="8"/>
  <c r="AK52" i="8" s="1"/>
  <c r="AJ51" i="8"/>
  <c r="AK51" i="8" s="1"/>
  <c r="AJ50" i="8"/>
  <c r="AK50" i="8" s="1"/>
  <c r="AJ49" i="8"/>
  <c r="AK49" i="8" s="1"/>
  <c r="AJ48" i="8"/>
  <c r="AK48" i="8" s="1"/>
  <c r="AJ47" i="8"/>
  <c r="AK47" i="8" s="1"/>
  <c r="AJ46" i="8"/>
  <c r="AK46" i="8" s="1"/>
  <c r="AJ45" i="8"/>
  <c r="AK45" i="8" s="1"/>
  <c r="AJ44" i="8"/>
  <c r="AK44" i="8" s="1"/>
  <c r="AJ43" i="8"/>
  <c r="AK43" i="8" s="1"/>
  <c r="AJ42" i="8"/>
  <c r="AK42" i="8" s="1"/>
  <c r="AJ41" i="8"/>
  <c r="AK41" i="8" s="1"/>
  <c r="AJ40" i="8"/>
  <c r="AK40" i="8" s="1"/>
  <c r="AJ39" i="8"/>
  <c r="AK39" i="8" s="1"/>
  <c r="AJ38" i="8"/>
  <c r="AK38" i="8" s="1"/>
  <c r="AJ37" i="8"/>
  <c r="AK37" i="8" s="1"/>
  <c r="AJ36" i="8"/>
  <c r="AK36" i="8" s="1"/>
  <c r="AJ35" i="8"/>
  <c r="AK35" i="8" s="1"/>
  <c r="AJ34" i="8"/>
  <c r="AK34" i="8" s="1"/>
  <c r="AJ33" i="8"/>
  <c r="AK33" i="8" s="1"/>
  <c r="AJ32" i="8"/>
  <c r="AK32" i="8" s="1"/>
  <c r="AJ31" i="8"/>
  <c r="AK31" i="8" s="1"/>
  <c r="AJ30" i="8"/>
  <c r="AK30" i="8" s="1"/>
  <c r="AJ29" i="8"/>
  <c r="AK29" i="8" s="1"/>
  <c r="AJ28" i="8"/>
  <c r="AK28" i="8" s="1"/>
  <c r="AJ27" i="8"/>
  <c r="AK27" i="8" s="1"/>
  <c r="AJ26" i="8"/>
  <c r="AK26" i="8" s="1"/>
  <c r="AJ25" i="8"/>
  <c r="AK25" i="8" s="1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AI13" i="8"/>
  <c r="AI16" i="8" s="1"/>
  <c r="AI17" i="8" s="1"/>
  <c r="AH13" i="8"/>
  <c r="AH16" i="8" s="1"/>
  <c r="AH17" i="8" s="1"/>
  <c r="AG13" i="8"/>
  <c r="AG16" i="8" s="1"/>
  <c r="AG17" i="8" s="1"/>
  <c r="AF13" i="8"/>
  <c r="AF16" i="8" s="1"/>
  <c r="AF17" i="8" s="1"/>
  <c r="AE13" i="8"/>
  <c r="AE16" i="8" s="1"/>
  <c r="AE17" i="8" s="1"/>
  <c r="AD13" i="8"/>
  <c r="AD16" i="8" s="1"/>
  <c r="AD17" i="8" s="1"/>
  <c r="AC13" i="8"/>
  <c r="AC16" i="8" s="1"/>
  <c r="AC17" i="8" s="1"/>
  <c r="AB13" i="8"/>
  <c r="AB16" i="8" s="1"/>
  <c r="AB17" i="8" s="1"/>
  <c r="AA13" i="8"/>
  <c r="AA16" i="8" s="1"/>
  <c r="AA17" i="8" s="1"/>
  <c r="Z13" i="8"/>
  <c r="Z16" i="8" s="1"/>
  <c r="Z17" i="8" s="1"/>
  <c r="Y13" i="8"/>
  <c r="Y16" i="8" s="1"/>
  <c r="Y17" i="8" s="1"/>
  <c r="X13" i="8"/>
  <c r="X16" i="8" s="1"/>
  <c r="X17" i="8" s="1"/>
  <c r="W13" i="8"/>
  <c r="W16" i="8" s="1"/>
  <c r="W17" i="8" s="1"/>
  <c r="V13" i="8"/>
  <c r="V16" i="8" s="1"/>
  <c r="V17" i="8" s="1"/>
  <c r="U13" i="8"/>
  <c r="U16" i="8" s="1"/>
  <c r="U17" i="8" s="1"/>
  <c r="T13" i="8"/>
  <c r="T16" i="8" s="1"/>
  <c r="T17" i="8" s="1"/>
  <c r="S13" i="8"/>
  <c r="S16" i="8" s="1"/>
  <c r="S17" i="8" s="1"/>
  <c r="R13" i="8"/>
  <c r="R16" i="8" s="1"/>
  <c r="R17" i="8" s="1"/>
  <c r="Q13" i="8"/>
  <c r="Q16" i="8" s="1"/>
  <c r="Q17" i="8" s="1"/>
  <c r="P13" i="8"/>
  <c r="P16" i="8" s="1"/>
  <c r="P17" i="8" s="1"/>
  <c r="O13" i="8"/>
  <c r="O16" i="8" s="1"/>
  <c r="O17" i="8" s="1"/>
  <c r="N13" i="8"/>
  <c r="N16" i="8" s="1"/>
  <c r="N17" i="8" s="1"/>
  <c r="M13" i="8"/>
  <c r="M16" i="8" s="1"/>
  <c r="M17" i="8" s="1"/>
  <c r="L13" i="8"/>
  <c r="L16" i="8" s="1"/>
  <c r="L17" i="8" s="1"/>
  <c r="K13" i="8"/>
  <c r="K16" i="8" s="1"/>
  <c r="K17" i="8" s="1"/>
  <c r="J13" i="8"/>
  <c r="J16" i="8" s="1"/>
  <c r="J17" i="8" s="1"/>
  <c r="I13" i="8"/>
  <c r="I16" i="8" s="1"/>
  <c r="I17" i="8" s="1"/>
  <c r="H13" i="8"/>
  <c r="H16" i="8" s="1"/>
  <c r="H17" i="8" s="1"/>
  <c r="G13" i="8"/>
  <c r="G16" i="8" s="1"/>
  <c r="G17" i="8" s="1"/>
  <c r="F13" i="8"/>
  <c r="F16" i="8" s="1"/>
  <c r="F17" i="8" s="1"/>
  <c r="E13" i="8"/>
  <c r="E16" i="8" s="1"/>
  <c r="R5" i="8"/>
  <c r="AI81" i="7"/>
  <c r="AJ81" i="7" s="1"/>
  <c r="AI80" i="7"/>
  <c r="AJ80" i="7" s="1"/>
  <c r="AI79" i="7"/>
  <c r="AJ79" i="7" s="1"/>
  <c r="AI78" i="7"/>
  <c r="AJ78" i="7" s="1"/>
  <c r="AI77" i="7"/>
  <c r="AJ77" i="7" s="1"/>
  <c r="AI76" i="7"/>
  <c r="AJ76" i="7" s="1"/>
  <c r="AI75" i="7"/>
  <c r="AJ75" i="7" s="1"/>
  <c r="AI74" i="7"/>
  <c r="AJ74" i="7" s="1"/>
  <c r="AI73" i="7"/>
  <c r="AJ73" i="7" s="1"/>
  <c r="AI72" i="7"/>
  <c r="AJ72" i="7" s="1"/>
  <c r="AI71" i="7"/>
  <c r="AJ71" i="7" s="1"/>
  <c r="AI70" i="7"/>
  <c r="AJ70" i="7" s="1"/>
  <c r="AI69" i="7"/>
  <c r="AJ69" i="7" s="1"/>
  <c r="AI68" i="7"/>
  <c r="AJ68" i="7" s="1"/>
  <c r="AI67" i="7"/>
  <c r="AJ67" i="7" s="1"/>
  <c r="AI66" i="7"/>
  <c r="AJ66" i="7" s="1"/>
  <c r="AI65" i="7"/>
  <c r="AJ65" i="7" s="1"/>
  <c r="AI64" i="7"/>
  <c r="AJ64" i="7" s="1"/>
  <c r="AI63" i="7"/>
  <c r="AJ63" i="7" s="1"/>
  <c r="AI62" i="7"/>
  <c r="AJ62" i="7" s="1"/>
  <c r="AI61" i="7"/>
  <c r="AJ61" i="7" s="1"/>
  <c r="AI60" i="7"/>
  <c r="AJ60" i="7" s="1"/>
  <c r="AI59" i="7"/>
  <c r="AJ59" i="7" s="1"/>
  <c r="AI58" i="7"/>
  <c r="AJ58" i="7" s="1"/>
  <c r="AI57" i="7"/>
  <c r="AJ57" i="7" s="1"/>
  <c r="AI56" i="7"/>
  <c r="AJ56" i="7" s="1"/>
  <c r="AI55" i="7"/>
  <c r="AJ55" i="7" s="1"/>
  <c r="AI54" i="7"/>
  <c r="AJ54" i="7" s="1"/>
  <c r="AI53" i="7"/>
  <c r="AJ53" i="7" s="1"/>
  <c r="AI52" i="7"/>
  <c r="AJ52" i="7" s="1"/>
  <c r="AI51" i="7"/>
  <c r="AJ51" i="7" s="1"/>
  <c r="AI50" i="7"/>
  <c r="AJ50" i="7" s="1"/>
  <c r="AI49" i="7"/>
  <c r="AJ49" i="7" s="1"/>
  <c r="AI48" i="7"/>
  <c r="AJ48" i="7" s="1"/>
  <c r="AI47" i="7"/>
  <c r="AJ47" i="7" s="1"/>
  <c r="AI46" i="7"/>
  <c r="AJ46" i="7" s="1"/>
  <c r="AI45" i="7"/>
  <c r="AJ45" i="7" s="1"/>
  <c r="AI44" i="7"/>
  <c r="AJ44" i="7" s="1"/>
  <c r="AI43" i="7"/>
  <c r="AJ43" i="7" s="1"/>
  <c r="AI42" i="7"/>
  <c r="AJ42" i="7" s="1"/>
  <c r="AI41" i="7"/>
  <c r="AJ41" i="7" s="1"/>
  <c r="AI40" i="7"/>
  <c r="AJ40" i="7" s="1"/>
  <c r="AI39" i="7"/>
  <c r="AJ39" i="7" s="1"/>
  <c r="AI38" i="7"/>
  <c r="AJ38" i="7" s="1"/>
  <c r="AI37" i="7"/>
  <c r="AJ37" i="7" s="1"/>
  <c r="AI36" i="7"/>
  <c r="AJ36" i="7" s="1"/>
  <c r="AI35" i="7"/>
  <c r="AJ35" i="7" s="1"/>
  <c r="AI34" i="7"/>
  <c r="AJ34" i="7" s="1"/>
  <c r="AI33" i="7"/>
  <c r="AJ33" i="7" s="1"/>
  <c r="AI32" i="7"/>
  <c r="AJ32" i="7" s="1"/>
  <c r="AI31" i="7"/>
  <c r="AJ31" i="7" s="1"/>
  <c r="AI30" i="7"/>
  <c r="AJ30" i="7" s="1"/>
  <c r="AI29" i="7"/>
  <c r="AJ29" i="7" s="1"/>
  <c r="AI28" i="7"/>
  <c r="AJ28" i="7" s="1"/>
  <c r="AI27" i="7"/>
  <c r="AJ27" i="7" s="1"/>
  <c r="AI26" i="7"/>
  <c r="AJ26" i="7" s="1"/>
  <c r="AI25" i="7"/>
  <c r="AJ25" i="7" s="1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AH14" i="7"/>
  <c r="AG14" i="7"/>
  <c r="AG16" i="7" s="1"/>
  <c r="AG17" i="7" s="1"/>
  <c r="AF14" i="7"/>
  <c r="AE14" i="7"/>
  <c r="AE16" i="7" s="1"/>
  <c r="AE17" i="7" s="1"/>
  <c r="AD14" i="7"/>
  <c r="AC14" i="7"/>
  <c r="AC16" i="7" s="1"/>
  <c r="AC17" i="7" s="1"/>
  <c r="AB14" i="7"/>
  <c r="AA14" i="7"/>
  <c r="AA16" i="7" s="1"/>
  <c r="AA17" i="7" s="1"/>
  <c r="Z14" i="7"/>
  <c r="Y14" i="7"/>
  <c r="Y16" i="7" s="1"/>
  <c r="Y17" i="7" s="1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AH13" i="7"/>
  <c r="AH16" i="7" s="1"/>
  <c r="AH17" i="7" s="1"/>
  <c r="AG13" i="7"/>
  <c r="AF13" i="7"/>
  <c r="AF16" i="7" s="1"/>
  <c r="AF17" i="7" s="1"/>
  <c r="AE13" i="7"/>
  <c r="AD13" i="7"/>
  <c r="AD16" i="7" s="1"/>
  <c r="AD17" i="7" s="1"/>
  <c r="AC13" i="7"/>
  <c r="AB13" i="7"/>
  <c r="AB16" i="7" s="1"/>
  <c r="AB17" i="7" s="1"/>
  <c r="AA13" i="7"/>
  <c r="Z13" i="7"/>
  <c r="Z16" i="7" s="1"/>
  <c r="Z17" i="7" s="1"/>
  <c r="Y13" i="7"/>
  <c r="X13" i="7"/>
  <c r="X16" i="7" s="1"/>
  <c r="X17" i="7" s="1"/>
  <c r="W13" i="7"/>
  <c r="W16" i="7" s="1"/>
  <c r="W17" i="7" s="1"/>
  <c r="V13" i="7"/>
  <c r="V16" i="7" s="1"/>
  <c r="V17" i="7" s="1"/>
  <c r="U13" i="7"/>
  <c r="U16" i="7" s="1"/>
  <c r="U17" i="7" s="1"/>
  <c r="T13" i="7"/>
  <c r="T16" i="7" s="1"/>
  <c r="T17" i="7" s="1"/>
  <c r="S13" i="7"/>
  <c r="S16" i="7" s="1"/>
  <c r="S17" i="7" s="1"/>
  <c r="R13" i="7"/>
  <c r="R16" i="7" s="1"/>
  <c r="R17" i="7" s="1"/>
  <c r="Q13" i="7"/>
  <c r="Q16" i="7" s="1"/>
  <c r="Q17" i="7" s="1"/>
  <c r="P13" i="7"/>
  <c r="P16" i="7" s="1"/>
  <c r="P17" i="7" s="1"/>
  <c r="O13" i="7"/>
  <c r="O16" i="7" s="1"/>
  <c r="O17" i="7" s="1"/>
  <c r="N13" i="7"/>
  <c r="N16" i="7" s="1"/>
  <c r="N17" i="7" s="1"/>
  <c r="M13" i="7"/>
  <c r="M16" i="7" s="1"/>
  <c r="M17" i="7" s="1"/>
  <c r="L13" i="7"/>
  <c r="L16" i="7" s="1"/>
  <c r="L17" i="7" s="1"/>
  <c r="K13" i="7"/>
  <c r="K16" i="7" s="1"/>
  <c r="K17" i="7" s="1"/>
  <c r="J13" i="7"/>
  <c r="J16" i="7" s="1"/>
  <c r="J17" i="7" s="1"/>
  <c r="I13" i="7"/>
  <c r="I16" i="7" s="1"/>
  <c r="I17" i="7" s="1"/>
  <c r="H13" i="7"/>
  <c r="H16" i="7" s="1"/>
  <c r="H17" i="7" s="1"/>
  <c r="G13" i="7"/>
  <c r="G16" i="7" s="1"/>
  <c r="G17" i="7" s="1"/>
  <c r="F13" i="7"/>
  <c r="F16" i="7" s="1"/>
  <c r="F17" i="7" s="1"/>
  <c r="E13" i="7"/>
  <c r="E16" i="7" s="1"/>
  <c r="R5" i="7"/>
  <c r="AJ81" i="6"/>
  <c r="AK81" i="6" s="1"/>
  <c r="AJ80" i="6"/>
  <c r="AK80" i="6" s="1"/>
  <c r="AJ79" i="6"/>
  <c r="AK79" i="6" s="1"/>
  <c r="AJ78" i="6"/>
  <c r="AK78" i="6" s="1"/>
  <c r="AJ77" i="6"/>
  <c r="AK77" i="6" s="1"/>
  <c r="AJ76" i="6"/>
  <c r="AK76" i="6" s="1"/>
  <c r="AJ75" i="6"/>
  <c r="AK75" i="6" s="1"/>
  <c r="AJ74" i="6"/>
  <c r="AK74" i="6" s="1"/>
  <c r="AJ73" i="6"/>
  <c r="AK73" i="6" s="1"/>
  <c r="AJ72" i="6"/>
  <c r="AK72" i="6" s="1"/>
  <c r="AJ71" i="6"/>
  <c r="AK71" i="6" s="1"/>
  <c r="AJ70" i="6"/>
  <c r="AK70" i="6" s="1"/>
  <c r="AJ69" i="6"/>
  <c r="AK69" i="6" s="1"/>
  <c r="AJ68" i="6"/>
  <c r="AK68" i="6" s="1"/>
  <c r="AJ67" i="6"/>
  <c r="AK67" i="6" s="1"/>
  <c r="AJ66" i="6"/>
  <c r="AK66" i="6" s="1"/>
  <c r="AJ65" i="6"/>
  <c r="AK65" i="6" s="1"/>
  <c r="AJ64" i="6"/>
  <c r="AK64" i="6" s="1"/>
  <c r="AJ63" i="6"/>
  <c r="AK63" i="6" s="1"/>
  <c r="AJ62" i="6"/>
  <c r="AK62" i="6" s="1"/>
  <c r="AJ61" i="6"/>
  <c r="AK61" i="6" s="1"/>
  <c r="AJ60" i="6"/>
  <c r="AK60" i="6" s="1"/>
  <c r="AJ59" i="6"/>
  <c r="AK59" i="6" s="1"/>
  <c r="AJ58" i="6"/>
  <c r="AK58" i="6" s="1"/>
  <c r="AJ57" i="6"/>
  <c r="AK57" i="6" s="1"/>
  <c r="AJ56" i="6"/>
  <c r="AK56" i="6" s="1"/>
  <c r="AJ55" i="6"/>
  <c r="AK55" i="6" s="1"/>
  <c r="AJ54" i="6"/>
  <c r="AK54" i="6" s="1"/>
  <c r="AJ53" i="6"/>
  <c r="AK53" i="6" s="1"/>
  <c r="AJ52" i="6"/>
  <c r="AK52" i="6" s="1"/>
  <c r="AJ51" i="6"/>
  <c r="AK51" i="6" s="1"/>
  <c r="AJ50" i="6"/>
  <c r="AK50" i="6" s="1"/>
  <c r="AJ49" i="6"/>
  <c r="AK49" i="6" s="1"/>
  <c r="AJ48" i="6"/>
  <c r="AK48" i="6" s="1"/>
  <c r="AJ47" i="6"/>
  <c r="AK47" i="6" s="1"/>
  <c r="AJ46" i="6"/>
  <c r="AK46" i="6" s="1"/>
  <c r="AJ45" i="6"/>
  <c r="AK45" i="6" s="1"/>
  <c r="AJ44" i="6"/>
  <c r="AK44" i="6" s="1"/>
  <c r="AJ43" i="6"/>
  <c r="AK43" i="6" s="1"/>
  <c r="AJ42" i="6"/>
  <c r="AK42" i="6" s="1"/>
  <c r="AJ41" i="6"/>
  <c r="AK41" i="6" s="1"/>
  <c r="AJ40" i="6"/>
  <c r="AK40" i="6" s="1"/>
  <c r="AJ39" i="6"/>
  <c r="AK39" i="6" s="1"/>
  <c r="AJ38" i="6"/>
  <c r="AK38" i="6" s="1"/>
  <c r="AJ37" i="6"/>
  <c r="AK37" i="6" s="1"/>
  <c r="AJ36" i="6"/>
  <c r="AK36" i="6" s="1"/>
  <c r="AJ35" i="6"/>
  <c r="AK35" i="6" s="1"/>
  <c r="AJ34" i="6"/>
  <c r="AK34" i="6" s="1"/>
  <c r="AJ33" i="6"/>
  <c r="AK33" i="6" s="1"/>
  <c r="AJ32" i="6"/>
  <c r="AK32" i="6" s="1"/>
  <c r="AJ31" i="6"/>
  <c r="AK31" i="6" s="1"/>
  <c r="AJ30" i="6"/>
  <c r="AK30" i="6" s="1"/>
  <c r="AJ29" i="6"/>
  <c r="AK29" i="6" s="1"/>
  <c r="AJ28" i="6"/>
  <c r="AK28" i="6" s="1"/>
  <c r="AJ27" i="6"/>
  <c r="AK27" i="6" s="1"/>
  <c r="AJ26" i="6"/>
  <c r="AK26" i="6" s="1"/>
  <c r="AJ25" i="6"/>
  <c r="AK25" i="6" s="1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AI13" i="6"/>
  <c r="AI16" i="6" s="1"/>
  <c r="AI17" i="6" s="1"/>
  <c r="AH13" i="6"/>
  <c r="AH16" i="6" s="1"/>
  <c r="AH17" i="6" s="1"/>
  <c r="AG13" i="6"/>
  <c r="AG16" i="6" s="1"/>
  <c r="AG17" i="6" s="1"/>
  <c r="AF13" i="6"/>
  <c r="AF16" i="6" s="1"/>
  <c r="AF17" i="6" s="1"/>
  <c r="AE13" i="6"/>
  <c r="AE16" i="6" s="1"/>
  <c r="AE17" i="6" s="1"/>
  <c r="AD13" i="6"/>
  <c r="AD16" i="6" s="1"/>
  <c r="AD17" i="6" s="1"/>
  <c r="AC13" i="6"/>
  <c r="AC16" i="6" s="1"/>
  <c r="AC17" i="6" s="1"/>
  <c r="AB13" i="6"/>
  <c r="AB16" i="6" s="1"/>
  <c r="AB17" i="6" s="1"/>
  <c r="AA13" i="6"/>
  <c r="AA16" i="6" s="1"/>
  <c r="AA17" i="6" s="1"/>
  <c r="Z13" i="6"/>
  <c r="Z16" i="6" s="1"/>
  <c r="Z17" i="6" s="1"/>
  <c r="Y13" i="6"/>
  <c r="Y16" i="6" s="1"/>
  <c r="Y17" i="6" s="1"/>
  <c r="X13" i="6"/>
  <c r="X16" i="6" s="1"/>
  <c r="X17" i="6" s="1"/>
  <c r="W13" i="6"/>
  <c r="W16" i="6" s="1"/>
  <c r="W17" i="6" s="1"/>
  <c r="V13" i="6"/>
  <c r="V16" i="6" s="1"/>
  <c r="V17" i="6" s="1"/>
  <c r="U13" i="6"/>
  <c r="U16" i="6" s="1"/>
  <c r="U17" i="6" s="1"/>
  <c r="T13" i="6"/>
  <c r="T16" i="6" s="1"/>
  <c r="T17" i="6" s="1"/>
  <c r="S13" i="6"/>
  <c r="S16" i="6" s="1"/>
  <c r="S17" i="6" s="1"/>
  <c r="R13" i="6"/>
  <c r="R16" i="6" s="1"/>
  <c r="R17" i="6" s="1"/>
  <c r="Q13" i="6"/>
  <c r="Q16" i="6" s="1"/>
  <c r="Q17" i="6" s="1"/>
  <c r="P13" i="6"/>
  <c r="P16" i="6" s="1"/>
  <c r="P17" i="6" s="1"/>
  <c r="O13" i="6"/>
  <c r="O16" i="6" s="1"/>
  <c r="O17" i="6" s="1"/>
  <c r="N13" i="6"/>
  <c r="N16" i="6" s="1"/>
  <c r="N17" i="6" s="1"/>
  <c r="M13" i="6"/>
  <c r="M16" i="6" s="1"/>
  <c r="M17" i="6" s="1"/>
  <c r="L13" i="6"/>
  <c r="L16" i="6" s="1"/>
  <c r="L17" i="6" s="1"/>
  <c r="K13" i="6"/>
  <c r="K16" i="6" s="1"/>
  <c r="K17" i="6" s="1"/>
  <c r="J13" i="6"/>
  <c r="J16" i="6" s="1"/>
  <c r="J17" i="6" s="1"/>
  <c r="I13" i="6"/>
  <c r="I16" i="6" s="1"/>
  <c r="I17" i="6" s="1"/>
  <c r="H13" i="6"/>
  <c r="H16" i="6" s="1"/>
  <c r="H17" i="6" s="1"/>
  <c r="G13" i="6"/>
  <c r="G16" i="6" s="1"/>
  <c r="G17" i="6" s="1"/>
  <c r="F13" i="6"/>
  <c r="F16" i="6" s="1"/>
  <c r="F17" i="6" s="1"/>
  <c r="E13" i="6"/>
  <c r="E16" i="6" s="1"/>
  <c r="R5" i="6"/>
  <c r="R5" i="2"/>
  <c r="R5" i="3"/>
  <c r="R5" i="4"/>
  <c r="R5" i="5"/>
  <c r="AI81" i="5"/>
  <c r="AJ81" i="5" s="1"/>
  <c r="AI80" i="5"/>
  <c r="AJ80" i="5" s="1"/>
  <c r="AI79" i="5"/>
  <c r="AJ79" i="5" s="1"/>
  <c r="AI78" i="5"/>
  <c r="AJ78" i="5" s="1"/>
  <c r="AI77" i="5"/>
  <c r="AJ77" i="5" s="1"/>
  <c r="AI76" i="5"/>
  <c r="AJ76" i="5" s="1"/>
  <c r="AI75" i="5"/>
  <c r="AJ75" i="5" s="1"/>
  <c r="AI74" i="5"/>
  <c r="AJ74" i="5" s="1"/>
  <c r="AI73" i="5"/>
  <c r="AJ73" i="5" s="1"/>
  <c r="AI72" i="5"/>
  <c r="AJ72" i="5" s="1"/>
  <c r="AI71" i="5"/>
  <c r="AJ71" i="5" s="1"/>
  <c r="AI70" i="5"/>
  <c r="AJ70" i="5" s="1"/>
  <c r="AI69" i="5"/>
  <c r="AJ69" i="5" s="1"/>
  <c r="AI68" i="5"/>
  <c r="AJ68" i="5" s="1"/>
  <c r="AI67" i="5"/>
  <c r="AJ67" i="5" s="1"/>
  <c r="AI66" i="5"/>
  <c r="AJ66" i="5" s="1"/>
  <c r="AI65" i="5"/>
  <c r="AJ65" i="5" s="1"/>
  <c r="AI64" i="5"/>
  <c r="AJ64" i="5" s="1"/>
  <c r="AI63" i="5"/>
  <c r="AJ63" i="5" s="1"/>
  <c r="AI62" i="5"/>
  <c r="AJ62" i="5" s="1"/>
  <c r="AI61" i="5"/>
  <c r="AJ61" i="5" s="1"/>
  <c r="AI60" i="5"/>
  <c r="AJ60" i="5" s="1"/>
  <c r="AI59" i="5"/>
  <c r="AJ59" i="5" s="1"/>
  <c r="AI58" i="5"/>
  <c r="AJ58" i="5" s="1"/>
  <c r="AI57" i="5"/>
  <c r="AJ57" i="5" s="1"/>
  <c r="AI56" i="5"/>
  <c r="AJ56" i="5" s="1"/>
  <c r="AI55" i="5"/>
  <c r="AJ55" i="5" s="1"/>
  <c r="AI54" i="5"/>
  <c r="AJ54" i="5" s="1"/>
  <c r="AI53" i="5"/>
  <c r="AJ53" i="5" s="1"/>
  <c r="AI52" i="5"/>
  <c r="AJ52" i="5" s="1"/>
  <c r="AI51" i="5"/>
  <c r="AJ51" i="5" s="1"/>
  <c r="AI50" i="5"/>
  <c r="AJ50" i="5" s="1"/>
  <c r="AI49" i="5"/>
  <c r="AJ49" i="5" s="1"/>
  <c r="AI48" i="5"/>
  <c r="AJ48" i="5" s="1"/>
  <c r="AI47" i="5"/>
  <c r="AJ47" i="5" s="1"/>
  <c r="AI46" i="5"/>
  <c r="AJ46" i="5" s="1"/>
  <c r="AI45" i="5"/>
  <c r="AJ45" i="5" s="1"/>
  <c r="AI44" i="5"/>
  <c r="AJ44" i="5" s="1"/>
  <c r="AI43" i="5"/>
  <c r="AJ43" i="5" s="1"/>
  <c r="AI42" i="5"/>
  <c r="AJ42" i="5" s="1"/>
  <c r="AI41" i="5"/>
  <c r="AJ41" i="5" s="1"/>
  <c r="AI40" i="5"/>
  <c r="AJ40" i="5" s="1"/>
  <c r="AI39" i="5"/>
  <c r="AJ39" i="5" s="1"/>
  <c r="AI38" i="5"/>
  <c r="AJ38" i="5" s="1"/>
  <c r="AI37" i="5"/>
  <c r="AJ37" i="5" s="1"/>
  <c r="AI36" i="5"/>
  <c r="AJ36" i="5" s="1"/>
  <c r="AI35" i="5"/>
  <c r="AJ35" i="5" s="1"/>
  <c r="AI34" i="5"/>
  <c r="AJ34" i="5" s="1"/>
  <c r="AI33" i="5"/>
  <c r="AJ33" i="5" s="1"/>
  <c r="AI32" i="5"/>
  <c r="AJ32" i="5" s="1"/>
  <c r="AI31" i="5"/>
  <c r="AJ31" i="5" s="1"/>
  <c r="AI30" i="5"/>
  <c r="AJ30" i="5" s="1"/>
  <c r="AI29" i="5"/>
  <c r="AJ29" i="5" s="1"/>
  <c r="AI28" i="5"/>
  <c r="AJ28" i="5" s="1"/>
  <c r="AI27" i="5"/>
  <c r="AJ27" i="5" s="1"/>
  <c r="AI26" i="5"/>
  <c r="AJ26" i="5" s="1"/>
  <c r="AI25" i="5"/>
  <c r="AJ25" i="5" s="1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AH13" i="5"/>
  <c r="AH16" i="5" s="1"/>
  <c r="AH17" i="5" s="1"/>
  <c r="AG13" i="5"/>
  <c r="AF13" i="5"/>
  <c r="AF16" i="5" s="1"/>
  <c r="AF17" i="5" s="1"/>
  <c r="AE13" i="5"/>
  <c r="AD13" i="5"/>
  <c r="AD16" i="5" s="1"/>
  <c r="AD17" i="5" s="1"/>
  <c r="AC13" i="5"/>
  <c r="AB13" i="5"/>
  <c r="AB16" i="5" s="1"/>
  <c r="AB17" i="5" s="1"/>
  <c r="AA13" i="5"/>
  <c r="Z13" i="5"/>
  <c r="Z16" i="5" s="1"/>
  <c r="Z17" i="5" s="1"/>
  <c r="Y13" i="5"/>
  <c r="Y16" i="5" s="1"/>
  <c r="Y17" i="5" s="1"/>
  <c r="X13" i="5"/>
  <c r="X16" i="5" s="1"/>
  <c r="X17" i="5" s="1"/>
  <c r="W13" i="5"/>
  <c r="W16" i="5" s="1"/>
  <c r="W17" i="5" s="1"/>
  <c r="V13" i="5"/>
  <c r="V16" i="5" s="1"/>
  <c r="V17" i="5" s="1"/>
  <c r="U13" i="5"/>
  <c r="U16" i="5" s="1"/>
  <c r="U17" i="5" s="1"/>
  <c r="T13" i="5"/>
  <c r="T16" i="5" s="1"/>
  <c r="T17" i="5" s="1"/>
  <c r="S13" i="5"/>
  <c r="S16" i="5" s="1"/>
  <c r="S17" i="5" s="1"/>
  <c r="R13" i="5"/>
  <c r="R16" i="5" s="1"/>
  <c r="R17" i="5" s="1"/>
  <c r="Q13" i="5"/>
  <c r="Q16" i="5" s="1"/>
  <c r="Q17" i="5" s="1"/>
  <c r="P13" i="5"/>
  <c r="P16" i="5" s="1"/>
  <c r="P17" i="5" s="1"/>
  <c r="O13" i="5"/>
  <c r="O16" i="5" s="1"/>
  <c r="O17" i="5" s="1"/>
  <c r="N13" i="5"/>
  <c r="N16" i="5" s="1"/>
  <c r="N17" i="5" s="1"/>
  <c r="M13" i="5"/>
  <c r="M16" i="5" s="1"/>
  <c r="M17" i="5" s="1"/>
  <c r="L13" i="5"/>
  <c r="L16" i="5" s="1"/>
  <c r="L17" i="5" s="1"/>
  <c r="K13" i="5"/>
  <c r="K16" i="5" s="1"/>
  <c r="K17" i="5" s="1"/>
  <c r="J13" i="5"/>
  <c r="J16" i="5" s="1"/>
  <c r="J17" i="5" s="1"/>
  <c r="I13" i="5"/>
  <c r="I16" i="5" s="1"/>
  <c r="I17" i="5" s="1"/>
  <c r="H13" i="5"/>
  <c r="H16" i="5" s="1"/>
  <c r="H17" i="5" s="1"/>
  <c r="G13" i="5"/>
  <c r="G16" i="5" s="1"/>
  <c r="G17" i="5" s="1"/>
  <c r="F13" i="5"/>
  <c r="F16" i="5" s="1"/>
  <c r="F17" i="5" s="1"/>
  <c r="E13" i="5"/>
  <c r="E16" i="5" s="1"/>
  <c r="F16" i="9" l="1"/>
  <c r="F17" i="9" s="1"/>
  <c r="H16" i="9"/>
  <c r="H17" i="9" s="1"/>
  <c r="J16" i="9"/>
  <c r="J17" i="9" s="1"/>
  <c r="L16" i="9"/>
  <c r="L17" i="9" s="1"/>
  <c r="N16" i="9"/>
  <c r="N17" i="9" s="1"/>
  <c r="P16" i="9"/>
  <c r="P17" i="9" s="1"/>
  <c r="R16" i="9"/>
  <c r="R17" i="9" s="1"/>
  <c r="T16" i="9"/>
  <c r="T17" i="9" s="1"/>
  <c r="V16" i="9"/>
  <c r="V17" i="9" s="1"/>
  <c r="X16" i="9"/>
  <c r="X17" i="9" s="1"/>
  <c r="Z16" i="9"/>
  <c r="Z17" i="9" s="1"/>
  <c r="AB16" i="9"/>
  <c r="AB17" i="9" s="1"/>
  <c r="AD16" i="9"/>
  <c r="AD17" i="9" s="1"/>
  <c r="AF16" i="9"/>
  <c r="AF17" i="9" s="1"/>
  <c r="AH17" i="9"/>
  <c r="AI17" i="9"/>
  <c r="E17" i="9"/>
  <c r="AJ17" i="8"/>
  <c r="AK17" i="8"/>
  <c r="E17" i="8"/>
  <c r="D17" i="8" s="1"/>
  <c r="C17" i="8" s="1"/>
  <c r="AI17" i="7"/>
  <c r="AJ17" i="7"/>
  <c r="E17" i="7"/>
  <c r="D17" i="7" s="1"/>
  <c r="C17" i="7" s="1"/>
  <c r="AK17" i="6"/>
  <c r="AJ17" i="6"/>
  <c r="E17" i="6"/>
  <c r="D17" i="6" s="1"/>
  <c r="C17" i="6" s="1"/>
  <c r="AA16" i="5"/>
  <c r="AA17" i="5" s="1"/>
  <c r="AC16" i="5"/>
  <c r="AC17" i="5" s="1"/>
  <c r="AE16" i="5"/>
  <c r="AE17" i="5" s="1"/>
  <c r="AG16" i="5"/>
  <c r="AG17" i="5" s="1"/>
  <c r="AI17" i="5"/>
  <c r="AJ17" i="5"/>
  <c r="E17" i="5"/>
  <c r="D17" i="5" s="1"/>
  <c r="C17" i="5" s="1"/>
  <c r="C17" i="9" l="1"/>
  <c r="D17" i="9"/>
  <c r="AJ25" i="4" l="1"/>
  <c r="AK25" i="4" s="1"/>
  <c r="AJ26" i="4"/>
  <c r="AK26" i="4" s="1"/>
  <c r="AJ27" i="4"/>
  <c r="AK27" i="4" s="1"/>
  <c r="AJ28" i="4"/>
  <c r="AK28" i="4" s="1"/>
  <c r="AJ29" i="4"/>
  <c r="AK29" i="4" s="1"/>
  <c r="AJ30" i="4"/>
  <c r="AK30" i="4" s="1"/>
  <c r="AJ31" i="4"/>
  <c r="AK31" i="4" s="1"/>
  <c r="AJ32" i="4"/>
  <c r="AK32" i="4" s="1"/>
  <c r="AJ33" i="4"/>
  <c r="AK33" i="4" s="1"/>
  <c r="AJ34" i="4"/>
  <c r="AK34" i="4" s="1"/>
  <c r="AJ35" i="4"/>
  <c r="AK35" i="4" s="1"/>
  <c r="AJ36" i="4"/>
  <c r="AK36" i="4" s="1"/>
  <c r="AJ37" i="4"/>
  <c r="AK37" i="4" s="1"/>
  <c r="AJ38" i="4"/>
  <c r="AK38" i="4" s="1"/>
  <c r="AJ39" i="4"/>
  <c r="AK39" i="4" s="1"/>
  <c r="AJ40" i="4"/>
  <c r="AK40" i="4" s="1"/>
  <c r="AJ41" i="4"/>
  <c r="AK41" i="4" s="1"/>
  <c r="AJ42" i="4"/>
  <c r="AK42" i="4" s="1"/>
  <c r="AJ43" i="4"/>
  <c r="AK43" i="4" s="1"/>
  <c r="AJ44" i="4"/>
  <c r="AK44" i="4" s="1"/>
  <c r="AJ45" i="4"/>
  <c r="AK45" i="4" s="1"/>
  <c r="AJ46" i="4"/>
  <c r="AK46" i="4" s="1"/>
  <c r="AJ47" i="4"/>
  <c r="AK47" i="4" s="1"/>
  <c r="AJ48" i="4"/>
  <c r="AK48" i="4" s="1"/>
  <c r="AJ49" i="4"/>
  <c r="AK49" i="4" s="1"/>
  <c r="AJ50" i="4"/>
  <c r="AK50" i="4" s="1"/>
  <c r="AJ51" i="4"/>
  <c r="AK51" i="4" s="1"/>
  <c r="AJ52" i="4"/>
  <c r="AK52" i="4" s="1"/>
  <c r="AJ53" i="4"/>
  <c r="AK53" i="4" s="1"/>
  <c r="AJ54" i="4"/>
  <c r="AK54" i="4" s="1"/>
  <c r="AJ55" i="4"/>
  <c r="AK55" i="4" s="1"/>
  <c r="AJ56" i="4"/>
  <c r="AK56" i="4" s="1"/>
  <c r="AJ57" i="4"/>
  <c r="AK57" i="4" s="1"/>
  <c r="AJ58" i="4"/>
  <c r="AK58" i="4" s="1"/>
  <c r="AJ59" i="4"/>
  <c r="AK59" i="4" s="1"/>
  <c r="AJ60" i="4"/>
  <c r="AK60" i="4" s="1"/>
  <c r="AJ61" i="4"/>
  <c r="AK61" i="4" s="1"/>
  <c r="AJ62" i="4"/>
  <c r="AK62" i="4" s="1"/>
  <c r="AJ63" i="4"/>
  <c r="AK63" i="4" s="1"/>
  <c r="AJ64" i="4"/>
  <c r="AK64" i="4" s="1"/>
  <c r="AJ65" i="4"/>
  <c r="AK65" i="4" s="1"/>
  <c r="AJ66" i="4"/>
  <c r="AK66" i="4" s="1"/>
  <c r="AJ67" i="4"/>
  <c r="AK67" i="4" s="1"/>
  <c r="AJ68" i="4"/>
  <c r="AK68" i="4" s="1"/>
  <c r="AJ69" i="4"/>
  <c r="AK69" i="4" s="1"/>
  <c r="AJ70" i="4"/>
  <c r="AK70" i="4" s="1"/>
  <c r="AJ71" i="4"/>
  <c r="AK71" i="4" s="1"/>
  <c r="AJ72" i="4"/>
  <c r="AK72" i="4" s="1"/>
  <c r="AJ73" i="4"/>
  <c r="AK73" i="4" s="1"/>
  <c r="AJ74" i="4"/>
  <c r="AK74" i="4" s="1"/>
  <c r="AJ75" i="4"/>
  <c r="AK75" i="4" s="1"/>
  <c r="AJ76" i="4"/>
  <c r="AK76" i="4" s="1"/>
  <c r="AJ77" i="4"/>
  <c r="AK77" i="4" s="1"/>
  <c r="AJ78" i="4"/>
  <c r="AK78" i="4" s="1"/>
  <c r="AJ79" i="4"/>
  <c r="AK79" i="4" s="1"/>
  <c r="AJ80" i="4"/>
  <c r="AK80" i="4" s="1"/>
  <c r="AJ81" i="4"/>
  <c r="AK81" i="4" s="1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K25" i="3" l="1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I25" i="2"/>
  <c r="AI26" i="2"/>
  <c r="AI27" i="2"/>
  <c r="AJ27" i="2" s="1"/>
  <c r="AI28" i="2"/>
  <c r="AJ28" i="2" s="1"/>
  <c r="AI29" i="2"/>
  <c r="AJ29" i="2" s="1"/>
  <c r="AI30" i="2"/>
  <c r="AJ30" i="2" s="1"/>
  <c r="AI31" i="2"/>
  <c r="AJ31" i="2" s="1"/>
  <c r="AI32" i="2"/>
  <c r="AJ32" i="2" s="1"/>
  <c r="AI33" i="2"/>
  <c r="AJ33" i="2" s="1"/>
  <c r="AI34" i="2"/>
  <c r="AJ34" i="2" s="1"/>
  <c r="AI35" i="2"/>
  <c r="AJ35" i="2" s="1"/>
  <c r="AI36" i="2"/>
  <c r="AJ36" i="2" s="1"/>
  <c r="AI37" i="2"/>
  <c r="AJ37" i="2" s="1"/>
  <c r="AI38" i="2"/>
  <c r="AJ38" i="2" s="1"/>
  <c r="AI39" i="2"/>
  <c r="AJ39" i="2" s="1"/>
  <c r="AI40" i="2"/>
  <c r="AJ40" i="2" s="1"/>
  <c r="AI41" i="2"/>
  <c r="AJ41" i="2" s="1"/>
  <c r="AI42" i="2"/>
  <c r="AJ42" i="2" s="1"/>
  <c r="AI43" i="2"/>
  <c r="AJ43" i="2" s="1"/>
  <c r="AI44" i="2"/>
  <c r="AJ44" i="2" s="1"/>
  <c r="AI45" i="2"/>
  <c r="AJ45" i="2" s="1"/>
  <c r="AI46" i="2"/>
  <c r="AJ46" i="2" s="1"/>
  <c r="AI47" i="2"/>
  <c r="AJ47" i="2" s="1"/>
  <c r="AI48" i="2"/>
  <c r="AJ48" i="2" s="1"/>
  <c r="AI49" i="2"/>
  <c r="AJ49" i="2" s="1"/>
  <c r="AI50" i="2"/>
  <c r="AJ50" i="2" s="1"/>
  <c r="AI51" i="2"/>
  <c r="AJ51" i="2" s="1"/>
  <c r="AI52" i="2"/>
  <c r="AJ52" i="2" s="1"/>
  <c r="AI53" i="2"/>
  <c r="AJ53" i="2" s="1"/>
  <c r="AI54" i="2"/>
  <c r="AJ54" i="2" s="1"/>
  <c r="AI55" i="2"/>
  <c r="AJ55" i="2" s="1"/>
  <c r="AI56" i="2"/>
  <c r="AJ56" i="2" s="1"/>
  <c r="AI57" i="2"/>
  <c r="AJ57" i="2" s="1"/>
  <c r="AI58" i="2"/>
  <c r="AJ58" i="2" s="1"/>
  <c r="AI59" i="2"/>
  <c r="AJ59" i="2" s="1"/>
  <c r="AI60" i="2"/>
  <c r="AJ60" i="2" s="1"/>
  <c r="AI61" i="2"/>
  <c r="AJ61" i="2" s="1"/>
  <c r="AI62" i="2"/>
  <c r="AJ62" i="2" s="1"/>
  <c r="AI63" i="2"/>
  <c r="AJ63" i="2" s="1"/>
  <c r="AI64" i="2"/>
  <c r="AJ64" i="2" s="1"/>
  <c r="AI65" i="2"/>
  <c r="AJ65" i="2" s="1"/>
  <c r="AI66" i="2"/>
  <c r="AJ66" i="2" s="1"/>
  <c r="AI67" i="2"/>
  <c r="AJ67" i="2" s="1"/>
  <c r="AI68" i="2"/>
  <c r="AJ68" i="2" s="1"/>
  <c r="AI69" i="2"/>
  <c r="AJ69" i="2" s="1"/>
  <c r="AI70" i="2"/>
  <c r="AJ70" i="2" s="1"/>
  <c r="AI71" i="2"/>
  <c r="AJ71" i="2" s="1"/>
  <c r="AI72" i="2"/>
  <c r="AJ72" i="2" s="1"/>
  <c r="AI73" i="2"/>
  <c r="AJ73" i="2" s="1"/>
  <c r="AI74" i="2"/>
  <c r="AJ74" i="2" s="1"/>
  <c r="AI75" i="2"/>
  <c r="AJ75" i="2" s="1"/>
  <c r="AI76" i="2"/>
  <c r="AJ76" i="2" s="1"/>
  <c r="AI77" i="2"/>
  <c r="AJ77" i="2" s="1"/>
  <c r="AI78" i="2"/>
  <c r="AJ78" i="2" s="1"/>
  <c r="AI79" i="2"/>
  <c r="AJ79" i="2" s="1"/>
  <c r="AI80" i="2"/>
  <c r="AJ80" i="2" s="1"/>
  <c r="AI81" i="2"/>
  <c r="AJ81" i="2" s="1"/>
  <c r="AJ26" i="2"/>
  <c r="AJ25" i="2" l="1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AH13" i="2"/>
  <c r="AG13" i="2"/>
  <c r="AG16" i="2" s="1"/>
  <c r="AG17" i="2" s="1"/>
  <c r="AF13" i="2"/>
  <c r="AF16" i="2" s="1"/>
  <c r="AF17" i="2" s="1"/>
  <c r="AE13" i="2"/>
  <c r="AE16" i="2" s="1"/>
  <c r="AE17" i="2" s="1"/>
  <c r="AD13" i="2"/>
  <c r="AC13" i="2"/>
  <c r="AC16" i="2" s="1"/>
  <c r="AC17" i="2" s="1"/>
  <c r="AB13" i="2"/>
  <c r="AB16" i="2" s="1"/>
  <c r="AB17" i="2" s="1"/>
  <c r="AA13" i="2"/>
  <c r="AA16" i="2" s="1"/>
  <c r="AA17" i="2" s="1"/>
  <c r="Z13" i="2"/>
  <c r="Y13" i="2"/>
  <c r="Y16" i="2" s="1"/>
  <c r="Y17" i="2" s="1"/>
  <c r="X13" i="2"/>
  <c r="X16" i="2" s="1"/>
  <c r="X17" i="2" s="1"/>
  <c r="W13" i="2"/>
  <c r="W16" i="2" s="1"/>
  <c r="W17" i="2" s="1"/>
  <c r="V13" i="2"/>
  <c r="V16" i="2" s="1"/>
  <c r="V17" i="2" s="1"/>
  <c r="U13" i="2"/>
  <c r="U16" i="2" s="1"/>
  <c r="U17" i="2" s="1"/>
  <c r="T13" i="2"/>
  <c r="T16" i="2" s="1"/>
  <c r="T17" i="2" s="1"/>
  <c r="S13" i="2"/>
  <c r="S16" i="2" s="1"/>
  <c r="S17" i="2" s="1"/>
  <c r="R13" i="2"/>
  <c r="R16" i="2" s="1"/>
  <c r="R17" i="2" s="1"/>
  <c r="Q13" i="2"/>
  <c r="Q16" i="2" s="1"/>
  <c r="Q17" i="2" s="1"/>
  <c r="P13" i="2"/>
  <c r="P16" i="2" s="1"/>
  <c r="P17" i="2" s="1"/>
  <c r="O13" i="2"/>
  <c r="O16" i="2" s="1"/>
  <c r="O17" i="2" s="1"/>
  <c r="N13" i="2"/>
  <c r="N16" i="2" s="1"/>
  <c r="N17" i="2" s="1"/>
  <c r="M13" i="2"/>
  <c r="M16" i="2" s="1"/>
  <c r="M17" i="2" s="1"/>
  <c r="L13" i="2"/>
  <c r="L16" i="2" s="1"/>
  <c r="L17" i="2" s="1"/>
  <c r="K13" i="2"/>
  <c r="K16" i="2" s="1"/>
  <c r="K17" i="2" s="1"/>
  <c r="J13" i="2"/>
  <c r="J16" i="2" s="1"/>
  <c r="J17" i="2" s="1"/>
  <c r="I13" i="2"/>
  <c r="I16" i="2" s="1"/>
  <c r="I17" i="2" s="1"/>
  <c r="H13" i="2"/>
  <c r="H16" i="2" s="1"/>
  <c r="H17" i="2" s="1"/>
  <c r="G13" i="2"/>
  <c r="G16" i="2" s="1"/>
  <c r="G17" i="2" s="1"/>
  <c r="F13" i="2"/>
  <c r="F16" i="2" s="1"/>
  <c r="F17" i="2" s="1"/>
  <c r="E13" i="2"/>
  <c r="E16" i="2" s="1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 s="1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F17" i="4"/>
  <c r="E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F16" i="4"/>
  <c r="E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K16" i="4" s="1"/>
  <c r="K17" i="4" s="1"/>
  <c r="J13" i="4"/>
  <c r="I13" i="4"/>
  <c r="I16" i="4" s="1"/>
  <c r="I17" i="4" s="1"/>
  <c r="H13" i="4"/>
  <c r="G13" i="4"/>
  <c r="F13" i="4"/>
  <c r="E13" i="4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N21" i="1"/>
  <c r="F21" i="1"/>
  <c r="B21" i="1"/>
  <c r="B20" i="1"/>
  <c r="B19" i="1"/>
  <c r="AI18" i="1"/>
  <c r="AI32" i="1" s="1"/>
  <c r="AH18" i="1"/>
  <c r="AG18" i="1"/>
  <c r="AF18" i="1"/>
  <c r="AE18" i="1"/>
  <c r="AE32" i="1" s="1"/>
  <c r="AD18" i="1"/>
  <c r="AC18" i="1"/>
  <c r="AB18" i="1"/>
  <c r="AA18" i="1"/>
  <c r="AA32" i="1" s="1"/>
  <c r="Z18" i="1"/>
  <c r="Y18" i="1"/>
  <c r="X18" i="1"/>
  <c r="W18" i="1"/>
  <c r="W32" i="1" s="1"/>
  <c r="V18" i="1"/>
  <c r="U18" i="1"/>
  <c r="T18" i="1"/>
  <c r="S18" i="1"/>
  <c r="S32" i="1" s="1"/>
  <c r="R18" i="1"/>
  <c r="Q18" i="1"/>
  <c r="P18" i="1"/>
  <c r="O18" i="1"/>
  <c r="O32" i="1" s="1"/>
  <c r="N18" i="1"/>
  <c r="M18" i="1"/>
  <c r="L18" i="1"/>
  <c r="K18" i="1"/>
  <c r="K32" i="1" s="1"/>
  <c r="J18" i="1"/>
  <c r="I18" i="1"/>
  <c r="H18" i="1"/>
  <c r="G18" i="1"/>
  <c r="G32" i="1" s="1"/>
  <c r="F18" i="1"/>
  <c r="E18" i="1"/>
  <c r="B18" i="1"/>
  <c r="AI17" i="1"/>
  <c r="AI31" i="1" s="1"/>
  <c r="AH17" i="1"/>
  <c r="AG17" i="1"/>
  <c r="AG31" i="1" s="1"/>
  <c r="AF17" i="1"/>
  <c r="AE17" i="1"/>
  <c r="AD17" i="1"/>
  <c r="AC17" i="1"/>
  <c r="AC31" i="1" s="1"/>
  <c r="AB17" i="1"/>
  <c r="AA17" i="1"/>
  <c r="Z17" i="1"/>
  <c r="Y17" i="1"/>
  <c r="Y31" i="1" s="1"/>
  <c r="X17" i="1"/>
  <c r="W17" i="1"/>
  <c r="V17" i="1"/>
  <c r="U17" i="1"/>
  <c r="U31" i="1" s="1"/>
  <c r="T17" i="1"/>
  <c r="S17" i="1"/>
  <c r="R17" i="1"/>
  <c r="Q17" i="1"/>
  <c r="Q31" i="1" s="1"/>
  <c r="P17" i="1"/>
  <c r="O17" i="1"/>
  <c r="N17" i="1"/>
  <c r="M17" i="1"/>
  <c r="M31" i="1" s="1"/>
  <c r="L17" i="1"/>
  <c r="K17" i="1"/>
  <c r="J17" i="1"/>
  <c r="I17" i="1"/>
  <c r="I31" i="1" s="1"/>
  <c r="H17" i="1"/>
  <c r="G17" i="1"/>
  <c r="F17" i="1"/>
  <c r="E17" i="1"/>
  <c r="E31" i="1" s="1"/>
  <c r="B17" i="1"/>
  <c r="AI16" i="1"/>
  <c r="AI30" i="1" s="1"/>
  <c r="AH16" i="1"/>
  <c r="AG16" i="1"/>
  <c r="AF16" i="1"/>
  <c r="AE16" i="1"/>
  <c r="AE30" i="1" s="1"/>
  <c r="AD16" i="1"/>
  <c r="AC16" i="1"/>
  <c r="AB16" i="1"/>
  <c r="AA16" i="1"/>
  <c r="AA30" i="1" s="1"/>
  <c r="Z16" i="1"/>
  <c r="Y16" i="1"/>
  <c r="X16" i="1"/>
  <c r="W16" i="1"/>
  <c r="W30" i="1" s="1"/>
  <c r="V16" i="1"/>
  <c r="U16" i="1"/>
  <c r="T16" i="1"/>
  <c r="S16" i="1"/>
  <c r="S30" i="1" s="1"/>
  <c r="R16" i="1"/>
  <c r="Q16" i="1"/>
  <c r="P16" i="1"/>
  <c r="O16" i="1"/>
  <c r="O30" i="1" s="1"/>
  <c r="N16" i="1"/>
  <c r="M16" i="1"/>
  <c r="L16" i="1"/>
  <c r="K16" i="1"/>
  <c r="K30" i="1" s="1"/>
  <c r="J16" i="1"/>
  <c r="I16" i="1"/>
  <c r="H16" i="1"/>
  <c r="G16" i="1"/>
  <c r="G30" i="1" s="1"/>
  <c r="F16" i="1"/>
  <c r="E16" i="1"/>
  <c r="B16" i="1"/>
  <c r="AI15" i="1"/>
  <c r="AI29" i="1" s="1"/>
  <c r="AH15" i="1"/>
  <c r="AG15" i="1"/>
  <c r="AG29" i="1" s="1"/>
  <c r="AF15" i="1"/>
  <c r="AE15" i="1"/>
  <c r="AD15" i="1"/>
  <c r="AC15" i="1"/>
  <c r="AC29" i="1" s="1"/>
  <c r="AB15" i="1"/>
  <c r="AA15" i="1"/>
  <c r="Z15" i="1"/>
  <c r="Y15" i="1"/>
  <c r="Y29" i="1" s="1"/>
  <c r="X15" i="1"/>
  <c r="W15" i="1"/>
  <c r="V15" i="1"/>
  <c r="U15" i="1"/>
  <c r="U29" i="1" s="1"/>
  <c r="T15" i="1"/>
  <c r="S15" i="1"/>
  <c r="R15" i="1"/>
  <c r="Q15" i="1"/>
  <c r="Q29" i="1" s="1"/>
  <c r="P15" i="1"/>
  <c r="O15" i="1"/>
  <c r="N15" i="1"/>
  <c r="M15" i="1"/>
  <c r="M29" i="1" s="1"/>
  <c r="L15" i="1"/>
  <c r="K15" i="1"/>
  <c r="J15" i="1"/>
  <c r="I15" i="1"/>
  <c r="I29" i="1" s="1"/>
  <c r="H15" i="1"/>
  <c r="G15" i="1"/>
  <c r="F15" i="1"/>
  <c r="E15" i="1"/>
  <c r="E29" i="1" s="1"/>
  <c r="B15" i="1"/>
  <c r="AI14" i="1"/>
  <c r="AI28" i="1" s="1"/>
  <c r="AH14" i="1"/>
  <c r="AG14" i="1"/>
  <c r="AF14" i="1"/>
  <c r="AE14" i="1"/>
  <c r="AE28" i="1" s="1"/>
  <c r="AD14" i="1"/>
  <c r="AC14" i="1"/>
  <c r="AB14" i="1"/>
  <c r="AA14" i="1"/>
  <c r="AA28" i="1" s="1"/>
  <c r="Z14" i="1"/>
  <c r="Y14" i="1"/>
  <c r="X14" i="1"/>
  <c r="W14" i="1"/>
  <c r="W28" i="1" s="1"/>
  <c r="V14" i="1"/>
  <c r="U14" i="1"/>
  <c r="T14" i="1"/>
  <c r="S14" i="1"/>
  <c r="S28" i="1" s="1"/>
  <c r="R14" i="1"/>
  <c r="Q14" i="1"/>
  <c r="P14" i="1"/>
  <c r="O14" i="1"/>
  <c r="O28" i="1" s="1"/>
  <c r="N14" i="1"/>
  <c r="M14" i="1"/>
  <c r="L14" i="1"/>
  <c r="K14" i="1"/>
  <c r="K28" i="1" s="1"/>
  <c r="J14" i="1"/>
  <c r="I14" i="1"/>
  <c r="H14" i="1"/>
  <c r="G14" i="1"/>
  <c r="G28" i="1" s="1"/>
  <c r="F14" i="1"/>
  <c r="E14" i="1"/>
  <c r="B14" i="1"/>
  <c r="AI13" i="1"/>
  <c r="AI9" i="4" s="1"/>
  <c r="AH13" i="1"/>
  <c r="AG13" i="1"/>
  <c r="AG21" i="4" s="1"/>
  <c r="AF13" i="1"/>
  <c r="AE13" i="1"/>
  <c r="AE9" i="4" s="1"/>
  <c r="AD13" i="1"/>
  <c r="AC13" i="1"/>
  <c r="AC21" i="4" s="1"/>
  <c r="AB13" i="1"/>
  <c r="AA13" i="1"/>
  <c r="AA9" i="4" s="1"/>
  <c r="Z13" i="1"/>
  <c r="Y13" i="1"/>
  <c r="Y21" i="4" s="1"/>
  <c r="X13" i="1"/>
  <c r="W13" i="1"/>
  <c r="W9" i="4" s="1"/>
  <c r="V13" i="1"/>
  <c r="U13" i="1"/>
  <c r="U21" i="4" s="1"/>
  <c r="T13" i="1"/>
  <c r="S13" i="1"/>
  <c r="S9" i="4" s="1"/>
  <c r="R13" i="1"/>
  <c r="Q13" i="1"/>
  <c r="Q21" i="4" s="1"/>
  <c r="P13" i="1"/>
  <c r="O13" i="1"/>
  <c r="O9" i="4" s="1"/>
  <c r="N13" i="1"/>
  <c r="M13" i="1"/>
  <c r="M21" i="4" s="1"/>
  <c r="L13" i="1"/>
  <c r="K13" i="1"/>
  <c r="K9" i="4" s="1"/>
  <c r="J13" i="1"/>
  <c r="I13" i="1"/>
  <c r="I21" i="4" s="1"/>
  <c r="H13" i="1"/>
  <c r="G13" i="1"/>
  <c r="G9" i="4" s="1"/>
  <c r="F13" i="1"/>
  <c r="E13" i="1"/>
  <c r="E21" i="4" s="1"/>
  <c r="B13" i="1"/>
  <c r="AI12" i="1"/>
  <c r="AI26" i="1" s="1"/>
  <c r="AH12" i="1"/>
  <c r="AG12" i="1"/>
  <c r="AF12" i="1"/>
  <c r="AE12" i="1"/>
  <c r="AE26" i="1" s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B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B11" i="1"/>
  <c r="AI10" i="1"/>
  <c r="AI24" i="1" s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B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B9" i="1"/>
  <c r="AI8" i="1"/>
  <c r="AI22" i="1" s="1"/>
  <c r="AH8" i="1"/>
  <c r="AH22" i="1" s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B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J21" i="1" s="1"/>
  <c r="I7" i="1"/>
  <c r="H7" i="1"/>
  <c r="G7" i="1"/>
  <c r="F7" i="1"/>
  <c r="E7" i="1"/>
  <c r="B7" i="1"/>
  <c r="B6" i="1"/>
  <c r="B5" i="1"/>
  <c r="B4" i="1"/>
  <c r="B3" i="1"/>
  <c r="B2" i="1"/>
  <c r="I27" i="1" l="1"/>
  <c r="Q27" i="1"/>
  <c r="Y27" i="1"/>
  <c r="AG27" i="1"/>
  <c r="I9" i="4"/>
  <c r="Q9" i="4"/>
  <c r="Y9" i="4"/>
  <c r="AG9" i="4"/>
  <c r="G21" i="4"/>
  <c r="O21" i="4"/>
  <c r="W21" i="4"/>
  <c r="AE21" i="4"/>
  <c r="E27" i="1"/>
  <c r="M27" i="1"/>
  <c r="U27" i="1"/>
  <c r="AC27" i="1"/>
  <c r="E9" i="4"/>
  <c r="M9" i="4"/>
  <c r="U9" i="4"/>
  <c r="AC9" i="4"/>
  <c r="K21" i="4"/>
  <c r="S21" i="4"/>
  <c r="AA21" i="4"/>
  <c r="AI21" i="4"/>
  <c r="F9" i="10"/>
  <c r="F21" i="10"/>
  <c r="H9" i="10"/>
  <c r="H21" i="10"/>
  <c r="J9" i="10"/>
  <c r="J21" i="10"/>
  <c r="L9" i="10"/>
  <c r="L21" i="10"/>
  <c r="N9" i="10"/>
  <c r="N21" i="10"/>
  <c r="P9" i="10"/>
  <c r="P21" i="10"/>
  <c r="R9" i="10"/>
  <c r="R21" i="10"/>
  <c r="R21" i="1"/>
  <c r="T9" i="10"/>
  <c r="T21" i="10"/>
  <c r="T21" i="1"/>
  <c r="V9" i="10"/>
  <c r="V21" i="10"/>
  <c r="V21" i="1"/>
  <c r="X9" i="10"/>
  <c r="X21" i="10"/>
  <c r="X21" i="1"/>
  <c r="Z9" i="10"/>
  <c r="Z21" i="10"/>
  <c r="Z21" i="1"/>
  <c r="AB9" i="10"/>
  <c r="AB21" i="10"/>
  <c r="AB21" i="1"/>
  <c r="AD9" i="10"/>
  <c r="AD21" i="10"/>
  <c r="AD21" i="1"/>
  <c r="AF9" i="10"/>
  <c r="AF21" i="10"/>
  <c r="AF21" i="1"/>
  <c r="AH9" i="10"/>
  <c r="AH21" i="10"/>
  <c r="AH21" i="1"/>
  <c r="F21" i="9"/>
  <c r="F9" i="9"/>
  <c r="F22" i="1"/>
  <c r="H21" i="9"/>
  <c r="H9" i="9"/>
  <c r="H22" i="1"/>
  <c r="J21" i="9"/>
  <c r="J9" i="9"/>
  <c r="J22" i="1"/>
  <c r="L21" i="9"/>
  <c r="L9" i="9"/>
  <c r="L22" i="1"/>
  <c r="N21" i="9"/>
  <c r="N9" i="9"/>
  <c r="N22" i="1"/>
  <c r="P21" i="9"/>
  <c r="P9" i="9"/>
  <c r="P22" i="1"/>
  <c r="R21" i="9"/>
  <c r="R9" i="9"/>
  <c r="R22" i="1"/>
  <c r="T21" i="9"/>
  <c r="T9" i="9"/>
  <c r="T22" i="1"/>
  <c r="V21" i="9"/>
  <c r="V9" i="9"/>
  <c r="V22" i="1"/>
  <c r="X21" i="9"/>
  <c r="X9" i="9"/>
  <c r="X22" i="1"/>
  <c r="Z21" i="9"/>
  <c r="Z9" i="9"/>
  <c r="Z22" i="1"/>
  <c r="AB21" i="9"/>
  <c r="AB9" i="9"/>
  <c r="AB22" i="1"/>
  <c r="AD21" i="9"/>
  <c r="AD9" i="9"/>
  <c r="AD22" i="1"/>
  <c r="AF21" i="9"/>
  <c r="AF9" i="9"/>
  <c r="AF22" i="1"/>
  <c r="F21" i="8"/>
  <c r="F9" i="8"/>
  <c r="F23" i="1"/>
  <c r="H21" i="8"/>
  <c r="H9" i="8"/>
  <c r="H23" i="1"/>
  <c r="J21" i="8"/>
  <c r="J9" i="8"/>
  <c r="J23" i="1"/>
  <c r="L21" i="8"/>
  <c r="L9" i="8"/>
  <c r="L23" i="1"/>
  <c r="N21" i="8"/>
  <c r="N9" i="8"/>
  <c r="N23" i="1"/>
  <c r="P21" i="8"/>
  <c r="P9" i="8"/>
  <c r="P23" i="1"/>
  <c r="R21" i="8"/>
  <c r="R9" i="8"/>
  <c r="R23" i="1"/>
  <c r="T21" i="8"/>
  <c r="T9" i="8"/>
  <c r="T23" i="1"/>
  <c r="V21" i="8"/>
  <c r="V9" i="8"/>
  <c r="V23" i="1"/>
  <c r="X21" i="8"/>
  <c r="X9" i="8"/>
  <c r="X23" i="1"/>
  <c r="Z21" i="8"/>
  <c r="Z9" i="8"/>
  <c r="Z23" i="1"/>
  <c r="AB21" i="8"/>
  <c r="AB9" i="8"/>
  <c r="AB23" i="1"/>
  <c r="AD21" i="8"/>
  <c r="AD9" i="8"/>
  <c r="AD23" i="1"/>
  <c r="AF21" i="8"/>
  <c r="AF9" i="8"/>
  <c r="AF23" i="1"/>
  <c r="AH21" i="8"/>
  <c r="AH9" i="8"/>
  <c r="AH23" i="1"/>
  <c r="F21" i="7"/>
  <c r="F9" i="7"/>
  <c r="F24" i="1"/>
  <c r="H9" i="7"/>
  <c r="H21" i="7"/>
  <c r="H24" i="1"/>
  <c r="J21" i="7"/>
  <c r="J9" i="7"/>
  <c r="J24" i="1"/>
  <c r="L9" i="7"/>
  <c r="L21" i="7"/>
  <c r="L24" i="1"/>
  <c r="N21" i="7"/>
  <c r="N9" i="7"/>
  <c r="N24" i="1"/>
  <c r="P21" i="7"/>
  <c r="P9" i="7"/>
  <c r="P24" i="1"/>
  <c r="R21" i="7"/>
  <c r="R9" i="7"/>
  <c r="R24" i="1"/>
  <c r="T21" i="7"/>
  <c r="T9" i="7"/>
  <c r="T24" i="1"/>
  <c r="V21" i="7"/>
  <c r="V9" i="7"/>
  <c r="V24" i="1"/>
  <c r="X21" i="7"/>
  <c r="X9" i="7"/>
  <c r="X24" i="1"/>
  <c r="Z21" i="7"/>
  <c r="Z9" i="7"/>
  <c r="Z24" i="1"/>
  <c r="AB21" i="7"/>
  <c r="AB9" i="7"/>
  <c r="AB24" i="1"/>
  <c r="AD21" i="7"/>
  <c r="AD9" i="7"/>
  <c r="AD24" i="1"/>
  <c r="AF21" i="7"/>
  <c r="AF9" i="7"/>
  <c r="AF24" i="1"/>
  <c r="AH21" i="7"/>
  <c r="AH9" i="7"/>
  <c r="AH24" i="1"/>
  <c r="F21" i="6"/>
  <c r="F9" i="6"/>
  <c r="F25" i="1"/>
  <c r="H21" i="6"/>
  <c r="H9" i="6"/>
  <c r="H25" i="1"/>
  <c r="J21" i="6"/>
  <c r="J9" i="6"/>
  <c r="J25" i="1"/>
  <c r="L21" i="6"/>
  <c r="L9" i="6"/>
  <c r="L25" i="1"/>
  <c r="N21" i="6"/>
  <c r="N9" i="6"/>
  <c r="N25" i="1"/>
  <c r="P21" i="6"/>
  <c r="P9" i="6"/>
  <c r="P25" i="1"/>
  <c r="R21" i="6"/>
  <c r="R9" i="6"/>
  <c r="R25" i="1"/>
  <c r="T21" i="6"/>
  <c r="T9" i="6"/>
  <c r="T25" i="1"/>
  <c r="V21" i="6"/>
  <c r="V9" i="6"/>
  <c r="V25" i="1"/>
  <c r="X21" i="6"/>
  <c r="X9" i="6"/>
  <c r="X25" i="1"/>
  <c r="Z21" i="6"/>
  <c r="Z9" i="6"/>
  <c r="Z25" i="1"/>
  <c r="AB21" i="6"/>
  <c r="AB9" i="6"/>
  <c r="AB25" i="1"/>
  <c r="AD21" i="6"/>
  <c r="AD9" i="6"/>
  <c r="AD25" i="1"/>
  <c r="AF21" i="6"/>
  <c r="AF9" i="6"/>
  <c r="AF25" i="1"/>
  <c r="AH21" i="6"/>
  <c r="AH9" i="6"/>
  <c r="AH25" i="1"/>
  <c r="F21" i="5"/>
  <c r="F9" i="5"/>
  <c r="F26" i="1"/>
  <c r="H9" i="5"/>
  <c r="H21" i="5"/>
  <c r="H26" i="1"/>
  <c r="J21" i="5"/>
  <c r="J9" i="5"/>
  <c r="J26" i="1"/>
  <c r="L9" i="5"/>
  <c r="L21" i="5"/>
  <c r="L26" i="1"/>
  <c r="N21" i="5"/>
  <c r="N9" i="5"/>
  <c r="N26" i="1"/>
  <c r="P9" i="5"/>
  <c r="P21" i="5"/>
  <c r="P26" i="1"/>
  <c r="R21" i="5"/>
  <c r="R9" i="5"/>
  <c r="R26" i="1"/>
  <c r="T9" i="5"/>
  <c r="T21" i="5"/>
  <c r="T26" i="1"/>
  <c r="V21" i="5"/>
  <c r="V9" i="5"/>
  <c r="V26" i="1"/>
  <c r="X9" i="5"/>
  <c r="X21" i="5"/>
  <c r="X26" i="1"/>
  <c r="Z21" i="5"/>
  <c r="Z9" i="5"/>
  <c r="Z26" i="1"/>
  <c r="AB9" i="5"/>
  <c r="AB21" i="5"/>
  <c r="AB26" i="1"/>
  <c r="AD21" i="5"/>
  <c r="AD9" i="5"/>
  <c r="AD26" i="1"/>
  <c r="AF9" i="5"/>
  <c r="AF21" i="5"/>
  <c r="AF26" i="1"/>
  <c r="AH21" i="5"/>
  <c r="AH9" i="5"/>
  <c r="AH26" i="1"/>
  <c r="F21" i="4"/>
  <c r="F9" i="4"/>
  <c r="F27" i="1"/>
  <c r="H21" i="4"/>
  <c r="H9" i="4"/>
  <c r="H27" i="1"/>
  <c r="J21" i="4"/>
  <c r="J9" i="4"/>
  <c r="J27" i="1"/>
  <c r="L21" i="4"/>
  <c r="L9" i="4"/>
  <c r="L27" i="1"/>
  <c r="N21" i="4"/>
  <c r="N9" i="4"/>
  <c r="N27" i="1"/>
  <c r="P21" i="4"/>
  <c r="P9" i="4"/>
  <c r="P27" i="1"/>
  <c r="R21" i="4"/>
  <c r="R9" i="4"/>
  <c r="R27" i="1"/>
  <c r="T21" i="4"/>
  <c r="T9" i="4"/>
  <c r="T27" i="1"/>
  <c r="V21" i="4"/>
  <c r="V9" i="4"/>
  <c r="V27" i="1"/>
  <c r="X21" i="4"/>
  <c r="X9" i="4"/>
  <c r="X27" i="1"/>
  <c r="Z21" i="4"/>
  <c r="Z9" i="4"/>
  <c r="Z27" i="1"/>
  <c r="AB21" i="4"/>
  <c r="AB9" i="4"/>
  <c r="AB27" i="1"/>
  <c r="AD21" i="4"/>
  <c r="AD9" i="4"/>
  <c r="AD27" i="1"/>
  <c r="AF21" i="4"/>
  <c r="AF9" i="4"/>
  <c r="AF27" i="1"/>
  <c r="AH21" i="4"/>
  <c r="AH9" i="4"/>
  <c r="AH27" i="1"/>
  <c r="F28" i="1"/>
  <c r="F21" i="3"/>
  <c r="F9" i="3"/>
  <c r="H28" i="1"/>
  <c r="H21" i="3"/>
  <c r="H9" i="3"/>
  <c r="J28" i="1"/>
  <c r="J21" i="3"/>
  <c r="J9" i="3"/>
  <c r="L28" i="1"/>
  <c r="L21" i="3"/>
  <c r="L9" i="3"/>
  <c r="N28" i="1"/>
  <c r="N21" i="3"/>
  <c r="N9" i="3"/>
  <c r="P28" i="1"/>
  <c r="P21" i="3"/>
  <c r="P9" i="3"/>
  <c r="R28" i="1"/>
  <c r="R21" i="3"/>
  <c r="R9" i="3"/>
  <c r="T28" i="1"/>
  <c r="T21" i="3"/>
  <c r="T9" i="3"/>
  <c r="V28" i="1"/>
  <c r="V21" i="3"/>
  <c r="V9" i="3"/>
  <c r="X28" i="1"/>
  <c r="X21" i="3"/>
  <c r="X9" i="3"/>
  <c r="Z28" i="1"/>
  <c r="Z21" i="3"/>
  <c r="Z9" i="3"/>
  <c r="AB28" i="1"/>
  <c r="AB21" i="3"/>
  <c r="AB9" i="3"/>
  <c r="AD28" i="1"/>
  <c r="AD21" i="3"/>
  <c r="AD9" i="3"/>
  <c r="AF28" i="1"/>
  <c r="AF21" i="3"/>
  <c r="AF9" i="3"/>
  <c r="AH28" i="1"/>
  <c r="AH21" i="3"/>
  <c r="AH9" i="3"/>
  <c r="F9" i="2"/>
  <c r="F29" i="1"/>
  <c r="F21" i="2"/>
  <c r="H9" i="2"/>
  <c r="H29" i="1"/>
  <c r="H21" i="2"/>
  <c r="J9" i="2"/>
  <c r="J29" i="1"/>
  <c r="J21" i="2"/>
  <c r="L9" i="2"/>
  <c r="L29" i="1"/>
  <c r="L21" i="2"/>
  <c r="N9" i="2"/>
  <c r="N29" i="1"/>
  <c r="N21" i="2"/>
  <c r="P9" i="2"/>
  <c r="P29" i="1"/>
  <c r="P21" i="2"/>
  <c r="R9" i="2"/>
  <c r="R29" i="1"/>
  <c r="R21" i="2"/>
  <c r="T9" i="2"/>
  <c r="T29" i="1"/>
  <c r="T21" i="2"/>
  <c r="V9" i="2"/>
  <c r="V29" i="1"/>
  <c r="V21" i="2"/>
  <c r="X9" i="2"/>
  <c r="X29" i="1"/>
  <c r="X21" i="2"/>
  <c r="Z9" i="2"/>
  <c r="Z29" i="1"/>
  <c r="Z21" i="2"/>
  <c r="AB9" i="2"/>
  <c r="AB29" i="1"/>
  <c r="AB21" i="2"/>
  <c r="AD9" i="2"/>
  <c r="AD29" i="1"/>
  <c r="AD21" i="2"/>
  <c r="AF9" i="2"/>
  <c r="AF29" i="1"/>
  <c r="AF21" i="2"/>
  <c r="AH9" i="2"/>
  <c r="AH29" i="1"/>
  <c r="AH21" i="2"/>
  <c r="F21" i="11"/>
  <c r="F9" i="11"/>
  <c r="F30" i="1"/>
  <c r="H21" i="11"/>
  <c r="H9" i="11"/>
  <c r="H30" i="1"/>
  <c r="J21" i="11"/>
  <c r="J9" i="11"/>
  <c r="J30" i="1"/>
  <c r="L21" i="11"/>
  <c r="L9" i="11"/>
  <c r="L30" i="1"/>
  <c r="N21" i="11"/>
  <c r="N9" i="11"/>
  <c r="N30" i="1"/>
  <c r="P21" i="11"/>
  <c r="P9" i="11"/>
  <c r="P30" i="1"/>
  <c r="R21" i="11"/>
  <c r="R9" i="11"/>
  <c r="R30" i="1"/>
  <c r="T21" i="11"/>
  <c r="T9" i="11"/>
  <c r="T30" i="1"/>
  <c r="V21" i="11"/>
  <c r="V9" i="11"/>
  <c r="V30" i="1"/>
  <c r="X21" i="11"/>
  <c r="X9" i="11"/>
  <c r="X30" i="1"/>
  <c r="Z21" i="11"/>
  <c r="Z9" i="11"/>
  <c r="Z30" i="1"/>
  <c r="AB21" i="11"/>
  <c r="AB9" i="11"/>
  <c r="AB30" i="1"/>
  <c r="AD21" i="11"/>
  <c r="AD9" i="11"/>
  <c r="AD30" i="1"/>
  <c r="AF21" i="11"/>
  <c r="AF9" i="11"/>
  <c r="AF30" i="1"/>
  <c r="AH21" i="11"/>
  <c r="AH9" i="11"/>
  <c r="AH30" i="1"/>
  <c r="F21" i="12"/>
  <c r="F9" i="12"/>
  <c r="F31" i="1"/>
  <c r="H21" i="12"/>
  <c r="H9" i="12"/>
  <c r="H31" i="1"/>
  <c r="J21" i="12"/>
  <c r="J9" i="12"/>
  <c r="J31" i="1"/>
  <c r="L21" i="12"/>
  <c r="L9" i="12"/>
  <c r="L31" i="1"/>
  <c r="N21" i="12"/>
  <c r="N9" i="12"/>
  <c r="N31" i="1"/>
  <c r="P21" i="12"/>
  <c r="P9" i="12"/>
  <c r="P31" i="1"/>
  <c r="R21" i="12"/>
  <c r="R9" i="12"/>
  <c r="R31" i="1"/>
  <c r="T21" i="12"/>
  <c r="T9" i="12"/>
  <c r="T31" i="1"/>
  <c r="V21" i="12"/>
  <c r="V9" i="12"/>
  <c r="V31" i="1"/>
  <c r="X21" i="12"/>
  <c r="X9" i="12"/>
  <c r="X31" i="1"/>
  <c r="Z21" i="12"/>
  <c r="Z9" i="12"/>
  <c r="Z31" i="1"/>
  <c r="AB21" i="12"/>
  <c r="AB9" i="12"/>
  <c r="AB31" i="1"/>
  <c r="AD21" i="12"/>
  <c r="AD9" i="12"/>
  <c r="AD31" i="1"/>
  <c r="AF21" i="12"/>
  <c r="AF9" i="12"/>
  <c r="AF31" i="1"/>
  <c r="AH21" i="12"/>
  <c r="AH9" i="12"/>
  <c r="AH31" i="1"/>
  <c r="F21" i="13"/>
  <c r="F9" i="13"/>
  <c r="F32" i="1"/>
  <c r="H21" i="13"/>
  <c r="H9" i="13"/>
  <c r="H32" i="1"/>
  <c r="J21" i="13"/>
  <c r="J9" i="13"/>
  <c r="J32" i="1"/>
  <c r="L21" i="13"/>
  <c r="L9" i="13"/>
  <c r="L32" i="1"/>
  <c r="N21" i="13"/>
  <c r="N9" i="13"/>
  <c r="N32" i="1"/>
  <c r="P21" i="13"/>
  <c r="P9" i="13"/>
  <c r="P32" i="1"/>
  <c r="R21" i="13"/>
  <c r="R9" i="13"/>
  <c r="R32" i="1"/>
  <c r="T21" i="13"/>
  <c r="T9" i="13"/>
  <c r="T32" i="1"/>
  <c r="V21" i="13"/>
  <c r="V9" i="13"/>
  <c r="V32" i="1"/>
  <c r="X21" i="13"/>
  <c r="X9" i="13"/>
  <c r="X32" i="1"/>
  <c r="Z21" i="13"/>
  <c r="Z9" i="13"/>
  <c r="Z32" i="1"/>
  <c r="AB21" i="13"/>
  <c r="AB9" i="13"/>
  <c r="AB32" i="1"/>
  <c r="AD21" i="13"/>
  <c r="AD9" i="13"/>
  <c r="AD32" i="1"/>
  <c r="AF21" i="13"/>
  <c r="AF9" i="13"/>
  <c r="AF32" i="1"/>
  <c r="AH21" i="13"/>
  <c r="AH9" i="13"/>
  <c r="AH32" i="1"/>
  <c r="H21" i="1"/>
  <c r="L21" i="1"/>
  <c r="P21" i="1"/>
  <c r="E9" i="10"/>
  <c r="E21" i="10"/>
  <c r="G21" i="10"/>
  <c r="G9" i="10"/>
  <c r="I21" i="10"/>
  <c r="I9" i="10"/>
  <c r="K21" i="10"/>
  <c r="K9" i="10"/>
  <c r="M21" i="10"/>
  <c r="M9" i="10"/>
  <c r="O21" i="10"/>
  <c r="O9" i="10"/>
  <c r="Q21" i="10"/>
  <c r="Q9" i="10"/>
  <c r="S21" i="10"/>
  <c r="S9" i="10"/>
  <c r="U21" i="10"/>
  <c r="U9" i="10"/>
  <c r="W21" i="10"/>
  <c r="W9" i="10"/>
  <c r="Y21" i="10"/>
  <c r="Y9" i="10"/>
  <c r="AA21" i="10"/>
  <c r="AA9" i="10"/>
  <c r="AC21" i="10"/>
  <c r="AC9" i="10"/>
  <c r="AE21" i="10"/>
  <c r="AE9" i="10"/>
  <c r="AG21" i="10"/>
  <c r="AG9" i="10"/>
  <c r="AI21" i="10"/>
  <c r="AI9" i="10"/>
  <c r="E21" i="9"/>
  <c r="E9" i="9"/>
  <c r="G9" i="9"/>
  <c r="G21" i="9"/>
  <c r="I9" i="9"/>
  <c r="I21" i="9"/>
  <c r="K9" i="9"/>
  <c r="K21" i="9"/>
  <c r="M9" i="9"/>
  <c r="M21" i="9"/>
  <c r="O9" i="9"/>
  <c r="O21" i="9"/>
  <c r="Q9" i="9"/>
  <c r="Q21" i="9"/>
  <c r="S9" i="9"/>
  <c r="S21" i="9"/>
  <c r="U9" i="9"/>
  <c r="U21" i="9"/>
  <c r="W9" i="9"/>
  <c r="W21" i="9"/>
  <c r="Y9" i="9"/>
  <c r="Y21" i="9"/>
  <c r="AA9" i="9"/>
  <c r="AA21" i="9"/>
  <c r="AC9" i="9"/>
  <c r="AC21" i="9"/>
  <c r="AE9" i="9"/>
  <c r="AE21" i="9"/>
  <c r="AG9" i="9"/>
  <c r="AG21" i="9"/>
  <c r="E9" i="8"/>
  <c r="E21" i="8"/>
  <c r="G21" i="8"/>
  <c r="G9" i="8"/>
  <c r="I9" i="8"/>
  <c r="I21" i="8"/>
  <c r="K21" i="8"/>
  <c r="K9" i="8"/>
  <c r="M9" i="8"/>
  <c r="M21" i="8"/>
  <c r="O21" i="8"/>
  <c r="O9" i="8"/>
  <c r="Q9" i="8"/>
  <c r="Q21" i="8"/>
  <c r="S21" i="8"/>
  <c r="S9" i="8"/>
  <c r="U9" i="8"/>
  <c r="U21" i="8"/>
  <c r="W21" i="8"/>
  <c r="W9" i="8"/>
  <c r="Y9" i="8"/>
  <c r="Y21" i="8"/>
  <c r="AA21" i="8"/>
  <c r="AA9" i="8"/>
  <c r="AC9" i="8"/>
  <c r="AC21" i="8"/>
  <c r="AE21" i="8"/>
  <c r="AE9" i="8"/>
  <c r="AG9" i="8"/>
  <c r="AG21" i="8"/>
  <c r="AI21" i="8"/>
  <c r="AI9" i="8"/>
  <c r="E21" i="7"/>
  <c r="E9" i="7"/>
  <c r="G21" i="7"/>
  <c r="G9" i="7"/>
  <c r="I21" i="7"/>
  <c r="I9" i="7"/>
  <c r="K21" i="7"/>
  <c r="K9" i="7"/>
  <c r="M21" i="7"/>
  <c r="M9" i="7"/>
  <c r="O21" i="7"/>
  <c r="O9" i="7"/>
  <c r="Q21" i="7"/>
  <c r="Q9" i="7"/>
  <c r="S21" i="7"/>
  <c r="S9" i="7"/>
  <c r="U21" i="7"/>
  <c r="U9" i="7"/>
  <c r="W21" i="7"/>
  <c r="W9" i="7"/>
  <c r="Y21" i="7"/>
  <c r="Y9" i="7"/>
  <c r="AA21" i="7"/>
  <c r="AA9" i="7"/>
  <c r="AC21" i="7"/>
  <c r="AC9" i="7"/>
  <c r="AE21" i="7"/>
  <c r="AE9" i="7"/>
  <c r="AG21" i="7"/>
  <c r="AG9" i="7"/>
  <c r="E21" i="6"/>
  <c r="E9" i="6"/>
  <c r="G9" i="6"/>
  <c r="G21" i="6"/>
  <c r="I9" i="6"/>
  <c r="I21" i="6"/>
  <c r="K9" i="6"/>
  <c r="K21" i="6"/>
  <c r="M9" i="6"/>
  <c r="M21" i="6"/>
  <c r="O9" i="6"/>
  <c r="O21" i="6"/>
  <c r="Q9" i="6"/>
  <c r="Q21" i="6"/>
  <c r="S9" i="6"/>
  <c r="S21" i="6"/>
  <c r="U9" i="6"/>
  <c r="U21" i="6"/>
  <c r="W9" i="6"/>
  <c r="W21" i="6"/>
  <c r="Y9" i="6"/>
  <c r="Y21" i="6"/>
  <c r="AA9" i="6"/>
  <c r="AA21" i="6"/>
  <c r="AC9" i="6"/>
  <c r="AC21" i="6"/>
  <c r="AE9" i="6"/>
  <c r="AE21" i="6"/>
  <c r="AG9" i="6"/>
  <c r="AG21" i="6"/>
  <c r="AI9" i="6"/>
  <c r="AI21" i="6"/>
  <c r="E21" i="5"/>
  <c r="E9" i="5"/>
  <c r="G21" i="5"/>
  <c r="G9" i="5"/>
  <c r="I21" i="5"/>
  <c r="I9" i="5"/>
  <c r="K21" i="5"/>
  <c r="K9" i="5"/>
  <c r="M21" i="5"/>
  <c r="M9" i="5"/>
  <c r="O21" i="5"/>
  <c r="O9" i="5"/>
  <c r="Q21" i="5"/>
  <c r="Q9" i="5"/>
  <c r="S21" i="5"/>
  <c r="S9" i="5"/>
  <c r="U21" i="5"/>
  <c r="U9" i="5"/>
  <c r="W21" i="5"/>
  <c r="W9" i="5"/>
  <c r="Y21" i="5"/>
  <c r="Y9" i="5"/>
  <c r="AA21" i="5"/>
  <c r="AA9" i="5"/>
  <c r="AC21" i="5"/>
  <c r="AC9" i="5"/>
  <c r="AE21" i="5"/>
  <c r="AE9" i="5"/>
  <c r="AG21" i="5"/>
  <c r="AG9" i="5"/>
  <c r="E21" i="3"/>
  <c r="E9" i="3"/>
  <c r="G21" i="3"/>
  <c r="G9" i="3"/>
  <c r="I21" i="3"/>
  <c r="I9" i="3"/>
  <c r="K21" i="3"/>
  <c r="K9" i="3"/>
  <c r="M21" i="3"/>
  <c r="M9" i="3"/>
  <c r="O21" i="3"/>
  <c r="O9" i="3"/>
  <c r="Q21" i="3"/>
  <c r="Q9" i="3"/>
  <c r="S21" i="3"/>
  <c r="S9" i="3"/>
  <c r="U21" i="3"/>
  <c r="U9" i="3"/>
  <c r="W21" i="3"/>
  <c r="W9" i="3"/>
  <c r="Y21" i="3"/>
  <c r="Y9" i="3"/>
  <c r="AA21" i="3"/>
  <c r="AA9" i="3"/>
  <c r="AC21" i="3"/>
  <c r="AC9" i="3"/>
  <c r="AE21" i="3"/>
  <c r="AE9" i="3"/>
  <c r="AG21" i="3"/>
  <c r="AG9" i="3"/>
  <c r="AI21" i="3"/>
  <c r="AI9" i="3"/>
  <c r="E9" i="2"/>
  <c r="E21" i="2"/>
  <c r="G9" i="2"/>
  <c r="G21" i="2"/>
  <c r="I9" i="2"/>
  <c r="I21" i="2"/>
  <c r="K9" i="2"/>
  <c r="K21" i="2"/>
  <c r="M9" i="2"/>
  <c r="M21" i="2"/>
  <c r="O9" i="2"/>
  <c r="O21" i="2"/>
  <c r="Q9" i="2"/>
  <c r="Q21" i="2"/>
  <c r="S9" i="2"/>
  <c r="S21" i="2"/>
  <c r="U9" i="2"/>
  <c r="U21" i="2"/>
  <c r="W9" i="2"/>
  <c r="W21" i="2"/>
  <c r="Y9" i="2"/>
  <c r="Y21" i="2"/>
  <c r="AA9" i="2"/>
  <c r="AA21" i="2"/>
  <c r="AC9" i="2"/>
  <c r="AC21" i="2"/>
  <c r="AE9" i="2"/>
  <c r="AE21" i="2"/>
  <c r="AG9" i="2"/>
  <c r="AG21" i="2"/>
  <c r="E9" i="11"/>
  <c r="E21" i="11"/>
  <c r="G21" i="11"/>
  <c r="G9" i="11"/>
  <c r="I21" i="11"/>
  <c r="I9" i="11"/>
  <c r="K21" i="11"/>
  <c r="K9" i="11"/>
  <c r="M21" i="11"/>
  <c r="M9" i="11"/>
  <c r="O21" i="11"/>
  <c r="O9" i="11"/>
  <c r="Q21" i="11"/>
  <c r="Q9" i="11"/>
  <c r="S21" i="11"/>
  <c r="S9" i="11"/>
  <c r="U21" i="11"/>
  <c r="U9" i="11"/>
  <c r="W21" i="11"/>
  <c r="W9" i="11"/>
  <c r="Y21" i="11"/>
  <c r="Y9" i="11"/>
  <c r="AA21" i="11"/>
  <c r="AA9" i="11"/>
  <c r="AC21" i="11"/>
  <c r="AC9" i="11"/>
  <c r="AE21" i="11"/>
  <c r="AE9" i="11"/>
  <c r="AG21" i="11"/>
  <c r="AG9" i="11"/>
  <c r="AI21" i="11"/>
  <c r="AI9" i="11"/>
  <c r="E21" i="12"/>
  <c r="E9" i="12"/>
  <c r="G21" i="12"/>
  <c r="G9" i="12"/>
  <c r="I21" i="12"/>
  <c r="I9" i="12"/>
  <c r="K21" i="12"/>
  <c r="K9" i="12"/>
  <c r="M21" i="12"/>
  <c r="M9" i="12"/>
  <c r="O21" i="12"/>
  <c r="O9" i="12"/>
  <c r="Q21" i="12"/>
  <c r="Q9" i="12"/>
  <c r="S21" i="12"/>
  <c r="S9" i="12"/>
  <c r="U21" i="12"/>
  <c r="U9" i="12"/>
  <c r="W21" i="12"/>
  <c r="W9" i="12"/>
  <c r="Y21" i="12"/>
  <c r="Y9" i="12"/>
  <c r="AA21" i="12"/>
  <c r="AA9" i="12"/>
  <c r="AC21" i="12"/>
  <c r="AC9" i="12"/>
  <c r="AE21" i="12"/>
  <c r="AE9" i="12"/>
  <c r="AG21" i="12"/>
  <c r="AG9" i="12"/>
  <c r="E21" i="13"/>
  <c r="E9" i="13"/>
  <c r="G9" i="13"/>
  <c r="G21" i="13"/>
  <c r="I9" i="13"/>
  <c r="I21" i="13"/>
  <c r="K9" i="13"/>
  <c r="K21" i="13"/>
  <c r="M9" i="13"/>
  <c r="M21" i="13"/>
  <c r="O9" i="13"/>
  <c r="O21" i="13"/>
  <c r="Q9" i="13"/>
  <c r="Q21" i="13"/>
  <c r="S9" i="13"/>
  <c r="S21" i="13"/>
  <c r="U9" i="13"/>
  <c r="U21" i="13"/>
  <c r="W9" i="13"/>
  <c r="W21" i="13"/>
  <c r="Y9" i="13"/>
  <c r="Y21" i="13"/>
  <c r="AA9" i="13"/>
  <c r="AA21" i="13"/>
  <c r="AC9" i="13"/>
  <c r="AC21" i="13"/>
  <c r="AE9" i="13"/>
  <c r="AE21" i="13"/>
  <c r="AG9" i="13"/>
  <c r="AG21" i="13"/>
  <c r="AI9" i="13"/>
  <c r="AI21" i="13"/>
  <c r="E21" i="1"/>
  <c r="G21" i="1"/>
  <c r="I21" i="1"/>
  <c r="K21" i="1"/>
  <c r="M21" i="1"/>
  <c r="O21" i="1"/>
  <c r="Q21" i="1"/>
  <c r="S21" i="1"/>
  <c r="U21" i="1"/>
  <c r="W21" i="1"/>
  <c r="Y21" i="1"/>
  <c r="AA21" i="1"/>
  <c r="AC21" i="1"/>
  <c r="AE21" i="1"/>
  <c r="AG21" i="1"/>
  <c r="AI21" i="1"/>
  <c r="E22" i="1"/>
  <c r="G22" i="1"/>
  <c r="I22" i="1"/>
  <c r="K22" i="1"/>
  <c r="M22" i="1"/>
  <c r="O22" i="1"/>
  <c r="Q22" i="1"/>
  <c r="S22" i="1"/>
  <c r="U22" i="1"/>
  <c r="W22" i="1"/>
  <c r="Y22" i="1"/>
  <c r="AA22" i="1"/>
  <c r="AC22" i="1"/>
  <c r="AE22" i="1"/>
  <c r="AG22" i="1"/>
  <c r="E23" i="1"/>
  <c r="G23" i="1"/>
  <c r="I23" i="1"/>
  <c r="K23" i="1"/>
  <c r="M23" i="1"/>
  <c r="O23" i="1"/>
  <c r="Q23" i="1"/>
  <c r="S23" i="1"/>
  <c r="U23" i="1"/>
  <c r="W23" i="1"/>
  <c r="Y23" i="1"/>
  <c r="AA23" i="1"/>
  <c r="AC23" i="1"/>
  <c r="AE23" i="1"/>
  <c r="AG23" i="1"/>
  <c r="AI23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E25" i="1"/>
  <c r="G25" i="1"/>
  <c r="I25" i="1"/>
  <c r="K25" i="1"/>
  <c r="M25" i="1"/>
  <c r="O25" i="1"/>
  <c r="Q25" i="1"/>
  <c r="S25" i="1"/>
  <c r="U25" i="1"/>
  <c r="W25" i="1"/>
  <c r="Y25" i="1"/>
  <c r="AA25" i="1"/>
  <c r="AC25" i="1"/>
  <c r="AE25" i="1"/>
  <c r="AG25" i="1"/>
  <c r="AI25" i="1"/>
  <c r="E26" i="1"/>
  <c r="G26" i="1"/>
  <c r="I26" i="1"/>
  <c r="K26" i="1"/>
  <c r="M26" i="1"/>
  <c r="O26" i="1"/>
  <c r="Q26" i="1"/>
  <c r="S26" i="1"/>
  <c r="U26" i="1"/>
  <c r="W26" i="1"/>
  <c r="Y26" i="1"/>
  <c r="AA26" i="1"/>
  <c r="AC26" i="1"/>
  <c r="AG26" i="1"/>
  <c r="G27" i="1"/>
  <c r="K27" i="1"/>
  <c r="O27" i="1"/>
  <c r="S27" i="1"/>
  <c r="W27" i="1"/>
  <c r="AA27" i="1"/>
  <c r="AE27" i="1"/>
  <c r="AI27" i="1"/>
  <c r="E28" i="1"/>
  <c r="I28" i="1"/>
  <c r="M28" i="1"/>
  <c r="Q28" i="1"/>
  <c r="U28" i="1"/>
  <c r="Y28" i="1"/>
  <c r="AC28" i="1"/>
  <c r="AG28" i="1"/>
  <c r="G29" i="1"/>
  <c r="K29" i="1"/>
  <c r="O29" i="1"/>
  <c r="S29" i="1"/>
  <c r="W29" i="1"/>
  <c r="AA29" i="1"/>
  <c r="AE29" i="1"/>
  <c r="E30" i="1"/>
  <c r="I30" i="1"/>
  <c r="M30" i="1"/>
  <c r="Q30" i="1"/>
  <c r="U30" i="1"/>
  <c r="Y30" i="1"/>
  <c r="AC30" i="1"/>
  <c r="AG30" i="1"/>
  <c r="G31" i="1"/>
  <c r="K31" i="1"/>
  <c r="O31" i="1"/>
  <c r="S31" i="1"/>
  <c r="W31" i="1"/>
  <c r="AA31" i="1"/>
  <c r="AE31" i="1"/>
  <c r="E32" i="1"/>
  <c r="I32" i="1"/>
  <c r="M32" i="1"/>
  <c r="Q32" i="1"/>
  <c r="U32" i="1"/>
  <c r="Y32" i="1"/>
  <c r="AC32" i="1"/>
  <c r="AG32" i="1"/>
  <c r="H16" i="4"/>
  <c r="H17" i="4" s="1"/>
  <c r="L16" i="4"/>
  <c r="L17" i="4" s="1"/>
  <c r="J16" i="4"/>
  <c r="J17" i="4" s="1"/>
  <c r="G16" i="4"/>
  <c r="B15" i="4"/>
  <c r="G17" i="4"/>
  <c r="D17" i="4" s="1"/>
  <c r="C17" i="4" s="1"/>
  <c r="Z16" i="2"/>
  <c r="Z17" i="2" s="1"/>
  <c r="AD16" i="2"/>
  <c r="AD17" i="2" s="1"/>
  <c r="AH16" i="2"/>
  <c r="E17" i="2"/>
  <c r="AH17" i="2"/>
  <c r="AJ17" i="2"/>
  <c r="AI17" i="2"/>
  <c r="B16" i="4" l="1"/>
  <c r="B17" i="12"/>
  <c r="B14" i="4"/>
  <c r="B16" i="13"/>
  <c r="B14" i="13"/>
  <c r="B17" i="13"/>
  <c r="B15" i="13"/>
  <c r="B13" i="13"/>
  <c r="B16" i="3"/>
  <c r="B14" i="3"/>
  <c r="B17" i="3"/>
  <c r="B15" i="3"/>
  <c r="B13" i="3"/>
  <c r="B16" i="5"/>
  <c r="B15" i="5"/>
  <c r="B13" i="5"/>
  <c r="B17" i="5"/>
  <c r="B14" i="5"/>
  <c r="B16" i="6"/>
  <c r="B14" i="6"/>
  <c r="B17" i="6"/>
  <c r="B15" i="6"/>
  <c r="B13" i="6"/>
  <c r="B15" i="9"/>
  <c r="B17" i="9"/>
  <c r="B16" i="9"/>
  <c r="B14" i="9"/>
  <c r="B13" i="9"/>
  <c r="B17" i="10"/>
  <c r="B15" i="10"/>
  <c r="B13" i="10"/>
  <c r="B16" i="10"/>
  <c r="B14" i="10"/>
  <c r="B16" i="12"/>
  <c r="B15" i="12"/>
  <c r="B16" i="11"/>
  <c r="B14" i="11"/>
  <c r="B15" i="11"/>
  <c r="B17" i="11"/>
  <c r="B13" i="11"/>
  <c r="B17" i="7"/>
  <c r="B15" i="7"/>
  <c r="B13" i="7"/>
  <c r="B16" i="7"/>
  <c r="B14" i="7"/>
  <c r="B17" i="8"/>
  <c r="B15" i="8"/>
  <c r="B13" i="8"/>
  <c r="B14" i="8"/>
  <c r="B16" i="8"/>
  <c r="B14" i="12"/>
  <c r="B13" i="12"/>
  <c r="D17" i="2"/>
  <c r="C17" i="2" s="1"/>
  <c r="B13" i="4"/>
  <c r="B17" i="4"/>
  <c r="B16" i="2"/>
  <c r="B14" i="2"/>
  <c r="B15" i="2"/>
  <c r="B13" i="2"/>
  <c r="B17" i="2"/>
</calcChain>
</file>

<file path=xl/sharedStrings.xml><?xml version="1.0" encoding="utf-8"?>
<sst xmlns="http://schemas.openxmlformats.org/spreadsheetml/2006/main" count="1714" uniqueCount="146">
  <si>
    <t>Соц. Услуги</t>
  </si>
  <si>
    <t>01. Приготовление пищи</t>
  </si>
  <si>
    <t>02. Помощь при приготовлении пищи</t>
  </si>
  <si>
    <t>03. Подготовка и подача пищи</t>
  </si>
  <si>
    <t>04. Помощь при подготовке пищи к приему</t>
  </si>
  <si>
    <t>05. Кормление</t>
  </si>
  <si>
    <t>06. Помощь при приеме пищи</t>
  </si>
  <si>
    <t>07. Помощь в соблюдении питьевого режима.</t>
  </si>
  <si>
    <t>08. Умывание</t>
  </si>
  <si>
    <t>09. Помощь при умывании</t>
  </si>
  <si>
    <t>10. Купание в кровати, включая мытье головы</t>
  </si>
  <si>
    <t>11. Купание в приспособленном помещении (месте), включая мытье головы</t>
  </si>
  <si>
    <t>12. Помощь при купании в приспособленном помещении (месте), включая мытье головы</t>
  </si>
  <si>
    <t>13. Гигиеническое обтирание</t>
  </si>
  <si>
    <t>14. Мытье головы, в том числе в кровати</t>
  </si>
  <si>
    <t>15. Помощь при мытье головы</t>
  </si>
  <si>
    <t>16. Подмывание</t>
  </si>
  <si>
    <t>17. Гигиеническая обработка рук и ногтей (процесс обработки ногтей на руках с водой и гиг.ср-ми, включая стрижку или подпиливание ногтей)</t>
  </si>
  <si>
    <t>18. Помощь при гигиенической обработке рук и ногтей (сохранение навыков гиг.обработки ногтей на руках и (или) облегчение данного процесса)</t>
  </si>
  <si>
    <t>19. Мытье ног</t>
  </si>
  <si>
    <t>20. Помощь при мытье ног</t>
  </si>
  <si>
    <t xml:space="preserve">21. Гигиеническая обработка ног и ногтей (процесс обработки ногтей на ногах с водой  и гиг.ср-ми, включая стрижку или подпиливание ногтей) </t>
  </si>
  <si>
    <t>22. Помощь при гигиенической обработка ног и ногтей (сохранение навыков мытья ног и (или) облегчение данного процесса)</t>
  </si>
  <si>
    <t>23. Гигиенииеское бритье</t>
  </si>
  <si>
    <t>24. Гигиеническая стрижка</t>
  </si>
  <si>
    <t>25. Смена одежды (обуви)</t>
  </si>
  <si>
    <t>26. Помощь при смене одежды (обуви)</t>
  </si>
  <si>
    <t>27. Смена нательного белья</t>
  </si>
  <si>
    <t>28. Помощь при смене нательного белья</t>
  </si>
  <si>
    <t>29. Смена постельного белья</t>
  </si>
  <si>
    <t>30. Помощь при смене постельного белья</t>
  </si>
  <si>
    <t>31. Смена абсорбирующего белья, включая гигиеническую обработку</t>
  </si>
  <si>
    <t>32. Помощь при смене абсорбирующего белья (сохранение навыков снятия и надевания абс.белья и (или) облегчение данного процесса)</t>
  </si>
  <si>
    <t>33. Помощь при пользовании туалетом (иными приспособлениями), включая гигиеническую обработку (поддержание способности и сохранение навыков пользования туалетом и (или) иными приспособлениями и (или) облегчение данного процесса)</t>
  </si>
  <si>
    <t>34. Замена мочеприемника и (или) калоприемника, включая гигиеническую обработку</t>
  </si>
  <si>
    <t>35. Помощь при замене мочеприемника и (или) калоприемника</t>
  </si>
  <si>
    <t>36. Позиционирование</t>
  </si>
  <si>
    <t>37. Помощь при позиционировании</t>
  </si>
  <si>
    <t>38. Пересаживание</t>
  </si>
  <si>
    <t>39. Помощь при пересаживании.</t>
  </si>
  <si>
    <t>40. Помощь при передвижении по помещению, пересаживании (поддержание способности к передвижению)</t>
  </si>
  <si>
    <t>41. Измерение температуры тела, артериального давления, пульса, сатурации (в соответствии с медицинскими рекомендациями) (процесс наблюдения за состоянием здоровья)</t>
  </si>
  <si>
    <t>42. Помощь в соблюдении медицинских рекомендаций (поддержание способности следовать мед.назначениям и рекомендациям)</t>
  </si>
  <si>
    <t>43. Подготовка лекарственных препаратов к приему</t>
  </si>
  <si>
    <t>44. Помощь в соблюдении приема лекарственных препаратов (поддержание способности принимать лекарственные препараты)</t>
  </si>
  <si>
    <t>45. Помощь в использовании очков и (или) слуховых аппаратов</t>
  </si>
  <si>
    <t>46. Помощь в использовании протезов или ортезов</t>
  </si>
  <si>
    <t>47. Помощь в поддержании посильной социальной активности</t>
  </si>
  <si>
    <t>48. Помощь в поддержании  посильной физической активности, включая прогулки</t>
  </si>
  <si>
    <t>49. Помощь в поддержании посильной бытовой активности</t>
  </si>
  <si>
    <t>50. Помощь в поддержании когнитивных функций</t>
  </si>
  <si>
    <t>Кратко</t>
  </si>
  <si>
    <t>Наименование социальной услуги по уходу</t>
  </si>
  <si>
    <t>Объем и периодичность социальной услуги по уходу</t>
  </si>
  <si>
    <t>число месяца</t>
  </si>
  <si>
    <t>день недели (пн, вт, ср, чт, пт, сб, вс)</t>
  </si>
  <si>
    <t>3 раза в неделю</t>
  </si>
  <si>
    <t>2 раза в неделю</t>
  </si>
  <si>
    <t>3 раза в день</t>
  </si>
  <si>
    <t>1 раз в день</t>
  </si>
  <si>
    <t>2 раз в день</t>
  </si>
  <si>
    <t>1 раз в неделю</t>
  </si>
  <si>
    <t>1 нед.</t>
  </si>
  <si>
    <t>Объем</t>
  </si>
  <si>
    <t>Периодичность</t>
  </si>
  <si>
    <t>Услуга</t>
  </si>
  <si>
    <t>№</t>
  </si>
  <si>
    <t>посещения</t>
  </si>
  <si>
    <t>УСЛУГ</t>
  </si>
  <si>
    <t>МИНУТ</t>
  </si>
  <si>
    <t>ВСЕГО</t>
  </si>
  <si>
    <t>№ Посещения</t>
  </si>
  <si>
    <t>ПЛАН-ОТЧЕТ  ПРЕДОСТАВЛЕНИЯ СОЦИАЛЬНЫХ УСЛУГ ПО УХОДУ,</t>
  </si>
  <si>
    <t>ВКЛЮЧЕННЫХ В СОЦИАЛЬНЫЙ ПАКЕТ ДОЛГОВРЕМЕННОГО УХОДА</t>
  </si>
  <si>
    <t>Получатель:</t>
  </si>
  <si>
    <t>за</t>
  </si>
  <si>
    <t>сентябрь</t>
  </si>
  <si>
    <t>август</t>
  </si>
  <si>
    <t>50. Помощь в поддержании когнитивных фун</t>
  </si>
  <si>
    <t>48. Помощь в поддержании  посильной физи</t>
  </si>
  <si>
    <t>44. Помощь в соблюдении приема лекарстве</t>
  </si>
  <si>
    <t xml:space="preserve">43. Подготовка лекарственных препаратов </t>
  </si>
  <si>
    <t>33. Помощь при пользовании туалетом (ины</t>
  </si>
  <si>
    <t xml:space="preserve">31. Смена абсорбирующего белья, включая </t>
  </si>
  <si>
    <t xml:space="preserve">11. Купание в приспособленном помещении </t>
  </si>
  <si>
    <t>07. Помощь в соблюдении питьевого режима</t>
  </si>
  <si>
    <t>июль</t>
  </si>
  <si>
    <t>за неделю</t>
  </si>
  <si>
    <t>периодичность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</si>
  <si>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</si>
  <si>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</si>
  <si>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</si>
  <si>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</si>
  <si>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</si>
  <si>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</si>
  <si>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</si>
  <si>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</si>
  <si>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</si>
  <si>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</si>
  <si>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</si>
  <si>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</si>
  <si>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</si>
  <si>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</si>
  <si>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</si>
  <si>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</si>
  <si>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</si>
  <si>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</si>
  <si>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</si>
  <si>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</si>
  <si>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</si>
  <si>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</si>
  <si>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</si>
  <si>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</si>
  <si>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</si>
  <si>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</si>
  <si>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</si>
  <si>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</si>
  <si>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</si>
  <si>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</si>
  <si>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всего минут</t>
  </si>
  <si>
    <t>Проверка</t>
  </si>
  <si>
    <t>Всего</t>
  </si>
  <si>
    <t>Сентябрь</t>
  </si>
  <si>
    <t>Месяц</t>
  </si>
  <si>
    <t>Октябрь</t>
  </si>
  <si>
    <t>Август</t>
  </si>
  <si>
    <t>Июль</t>
  </si>
  <si>
    <t>31</t>
  </si>
  <si>
    <t>Июнь</t>
  </si>
  <si>
    <t>Май</t>
  </si>
  <si>
    <t>Апрель</t>
  </si>
  <si>
    <t>Март</t>
  </si>
  <si>
    <t>Февраль</t>
  </si>
  <si>
    <t>Январь</t>
  </si>
  <si>
    <t>Ноябрь</t>
  </si>
  <si>
    <t>Декабрь</t>
  </si>
  <si>
    <t>Год</t>
  </si>
  <si>
    <t>июнь</t>
  </si>
  <si>
    <t>г.</t>
  </si>
  <si>
    <t>май</t>
  </si>
  <si>
    <t>март</t>
  </si>
  <si>
    <t>февраль</t>
  </si>
  <si>
    <t>январь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</si>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</sst>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ddd"/>
    <numFmt numFmtId="167" formatCode="0;[Red]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 tint="0.14999847407452621"/>
      <name val="Times New Roman"/>
      <family val="1"/>
      <charset val="204"/>
    </font>
    <font>
      <sz val="9"/>
      <color theme="1" tint="0.14999847407452621"/>
      <name val="Times New Roman"/>
      <family val="1"/>
      <charset val="204"/>
    </font>
    <font>
      <sz val="14"/>
      <color theme="1" tint="0.1499984740745262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1C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 shrinkToFi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 shrinkToFit="1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2" fillId="0" borderId="0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14" fontId="2" fillId="0" borderId="0" xfId="0" applyNumberFormat="1" applyFont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 shrinkToFit="1"/>
    </xf>
    <xf numFmtId="166" fontId="2" fillId="0" borderId="1" xfId="0" applyNumberFormat="1" applyFont="1" applyBorder="1" applyAlignment="1">
      <alignment horizontal="center" vertical="center"/>
    </xf>
    <xf numFmtId="14" fontId="2" fillId="0" borderId="0" xfId="0" applyNumberFormat="1" applyFont="1"/>
    <xf numFmtId="167" fontId="2" fillId="0" borderId="0" xfId="0" applyNumberFormat="1" applyFont="1"/>
    <xf numFmtId="166" fontId="2" fillId="0" borderId="1" xfId="0" applyNumberFormat="1" applyFont="1" applyBorder="1" applyAlignment="1">
      <alignment horizontal="center" vertical="center" shrinkToFit="1"/>
    </xf>
    <xf numFmtId="166" fontId="2" fillId="0" borderId="10" xfId="0" applyNumberFormat="1" applyFont="1" applyBorder="1" applyAlignment="1">
      <alignment horizontal="center" vertical="center"/>
    </xf>
    <xf numFmtId="17" fontId="2" fillId="0" borderId="0" xfId="0" applyNumberFormat="1" applyFont="1"/>
    <xf numFmtId="0" fontId="3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9" fillId="0" borderId="0" xfId="0" applyFont="1" applyBorder="1" applyAlignment="1">
      <alignment horizontal="center" vertical="center" wrapText="1" shrinkToFit="1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NumberFormat="1" applyFont="1"/>
    <xf numFmtId="0" fontId="5" fillId="0" borderId="5" xfId="0" applyFont="1" applyBorder="1" applyAlignment="1">
      <alignment horizontal="right" vertical="center" wrapText="1" shrinkToFit="1"/>
    </xf>
    <xf numFmtId="0" fontId="5" fillId="0" borderId="5" xfId="0" applyFont="1" applyBorder="1" applyAlignment="1">
      <alignment horizontal="left" vertical="center" wrapText="1" shrinkToFit="1"/>
    </xf>
    <xf numFmtId="0" fontId="3" fillId="0" borderId="1" xfId="0" applyFont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center" vertical="center" wrapText="1" shrinkToFit="1"/>
    </xf>
    <xf numFmtId="0" fontId="10" fillId="0" borderId="6" xfId="0" applyFont="1" applyBorder="1" applyAlignment="1">
      <alignment horizontal="center" vertical="center" wrapText="1" shrinkToFit="1"/>
    </xf>
    <xf numFmtId="0" fontId="10" fillId="0" borderId="11" xfId="0" applyFont="1" applyBorder="1" applyAlignment="1">
      <alignment horizontal="center" vertical="center" wrapText="1" shrinkToFit="1"/>
    </xf>
    <xf numFmtId="0" fontId="2" fillId="0" borderId="12" xfId="0" applyFont="1" applyBorder="1" applyAlignment="1">
      <alignment horizontal="center" vertical="center" wrapText="1" shrinkToFit="1"/>
    </xf>
    <xf numFmtId="0" fontId="2" fillId="0" borderId="5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 wrapText="1" shrinkToFit="1"/>
    </xf>
    <xf numFmtId="0" fontId="9" fillId="0" borderId="13" xfId="0" applyFont="1" applyBorder="1" applyAlignment="1">
      <alignment horizontal="center" vertical="center" wrapText="1" shrinkToFit="1"/>
    </xf>
    <xf numFmtId="0" fontId="9" fillId="0" borderId="0" xfId="0" applyFont="1" applyAlignment="1">
      <alignment horizontal="center" vertical="center" wrapText="1" shrinkToFit="1"/>
    </xf>
    <xf numFmtId="0" fontId="9" fillId="0" borderId="14" xfId="0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wrapText="1" shrinkToFit="1"/>
    </xf>
    <xf numFmtId="0" fontId="2" fillId="0" borderId="9" xfId="0" applyFont="1" applyBorder="1" applyAlignment="1">
      <alignment horizontal="center" vertical="center" wrapText="1" shrinkToFit="1"/>
    </xf>
    <xf numFmtId="0" fontId="2" fillId="0" borderId="4" xfId="0" applyFont="1" applyBorder="1" applyAlignment="1">
      <alignment horizontal="center" vertical="center" textRotation="90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9" fillId="0" borderId="15" xfId="0" applyFont="1" applyBorder="1" applyAlignment="1">
      <alignment horizontal="center" vertical="center" wrapText="1" shrinkToFit="1"/>
    </xf>
    <xf numFmtId="0" fontId="9" fillId="0" borderId="7" xfId="0" applyFont="1" applyBorder="1" applyAlignment="1">
      <alignment horizontal="center" vertical="center" wrapText="1" shrinkToFit="1"/>
    </xf>
    <xf numFmtId="0" fontId="9" fillId="0" borderId="3" xfId="0" applyFont="1" applyBorder="1" applyAlignment="1">
      <alignment horizontal="center" vertical="center" wrapText="1" shrinkToFit="1"/>
    </xf>
    <xf numFmtId="0" fontId="9" fillId="0" borderId="1" xfId="0" applyFont="1" applyBorder="1" applyAlignment="1">
      <alignment horizontal="center" vertical="center" wrapText="1" shrinkToFit="1"/>
    </xf>
    <xf numFmtId="0" fontId="2" fillId="0" borderId="4" xfId="0" applyFont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center" vertical="center" textRotation="90" wrapText="1" shrinkToFit="1"/>
    </xf>
    <xf numFmtId="0" fontId="9" fillId="0" borderId="6" xfId="0" applyFont="1" applyBorder="1" applyAlignment="1">
      <alignment horizontal="center" vertical="center" wrapText="1" shrinkToFit="1"/>
    </xf>
    <xf numFmtId="0" fontId="4" fillId="0" borderId="0" xfId="0" applyFont="1" applyAlignment="1">
      <alignment horizontal="center" vertical="center" wrapText="1" shrinkToFit="1"/>
    </xf>
    <xf numFmtId="0" fontId="4" fillId="0" borderId="0" xfId="0" applyFont="1" applyAlignment="1">
      <alignment horizontal="right" vertical="center" wrapText="1" shrinkToFit="1"/>
    </xf>
    <xf numFmtId="0" fontId="2" fillId="0" borderId="7" xfId="0" applyFont="1" applyBorder="1" applyAlignment="1">
      <alignment horizontal="center" vertical="center" wrapText="1" shrinkToFit="1"/>
    </xf>
    <xf numFmtId="0" fontId="5" fillId="0" borderId="8" xfId="0" applyFont="1" applyBorder="1" applyAlignment="1">
      <alignment horizontal="center" vertical="center" wrapText="1" shrinkToFit="1"/>
    </xf>
    <xf numFmtId="0" fontId="9" fillId="0" borderId="8" xfId="0" applyFont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 shrinkToFit="1"/>
    </xf>
    <xf numFmtId="0" fontId="3" fillId="0" borderId="2" xfId="0" applyFont="1" applyBorder="1" applyAlignment="1">
      <alignment horizontal="center" vertical="center" wrapText="1" shrinkToFit="1"/>
    </xf>
    <xf numFmtId="0" fontId="0" fillId="0" borderId="14" xfId="0" applyBorder="1" applyAlignment="1">
      <alignment horizontal="center" vertical="center" wrapText="1" shrinkToFit="1"/>
    </xf>
    <xf numFmtId="0" fontId="0" fillId="0" borderId="3" xfId="0" applyBorder="1" applyAlignment="1">
      <alignment horizontal="center" vertical="center" wrapText="1" shrinkToFit="1"/>
    </xf>
    <xf numFmtId="0" fontId="2" fillId="0" borderId="2" xfId="0" applyFont="1" applyBorder="1" applyAlignment="1">
      <alignment horizontal="center" vertical="center" wrapText="1" shrinkToFit="1"/>
    </xf>
    <xf numFmtId="0" fontId="9" fillId="0" borderId="5" xfId="0" applyFont="1" applyBorder="1" applyAlignment="1">
      <alignment horizontal="center" vertical="center" wrapText="1" shrinkToFit="1"/>
    </xf>
    <xf numFmtId="0" fontId="2" fillId="0" borderId="3" xfId="0" applyFont="1" applyBorder="1" applyAlignment="1">
      <alignment horizontal="center" vertical="center" wrapText="1" shrinkToFit="1"/>
    </xf>
  </cellXfs>
  <cellStyles count="2">
    <cellStyle name="Обычный" xfId="0" builtinId="0"/>
    <cellStyle name="Обычный 2 2 2" xfId="1"/>
  </cellStyles>
  <dxfs count="12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2" formatCode="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Medium9"/>
  <colors>
    <mruColors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Услуги" displayName="Услуги" ref="A1:B51" totalsRowShown="0" headerRowDxfId="1253" dataDxfId="1252">
  <autoFilter ref="A1:B51">
    <filterColumn colId="0" hiddenButton="1"/>
    <filterColumn colId="1" hiddenButton="1"/>
  </autoFilter>
  <tableColumns count="2">
    <tableColumn id="1" name="Соц. Услуги" dataDxfId="1251"/>
    <tableColumn id="2" name="Кратко" dataDxfId="1250">
      <calculatedColumnFormula>LEFT(Услуги[[#This Row],[Соц. Услуги]],40)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5" name="Март" displayName="Март" ref="A24:AK81" headerRowDxfId="979" dataDxfId="978" totalsRowDxfId="977">
  <autoFilter ref="A24:AK8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Услуга" totalsRowLabel="Итог" dataDxfId="976"/>
    <tableColumn id="2" name="Объем" dataDxfId="975" totalsRowDxfId="974"/>
    <tableColumn id="3" name="Периодичность" dataDxfId="973" totalsRowDxfId="972"/>
    <tableColumn id="4" name="№" dataDxfId="971" totalsRowDxfId="970"/>
    <tableColumn id="7" name="1" dataDxfId="969" dataCellStyle="Обычный 2 2 2"/>
    <tableColumn id="8" name="2" dataDxfId="968" dataCellStyle="Обычный 2 2 2"/>
    <tableColumn id="9" name="3" dataDxfId="967" dataCellStyle="Обычный 2 2 2"/>
    <tableColumn id="10" name="4" dataDxfId="966" totalsRowDxfId="965" dataCellStyle="Обычный 2 2 2"/>
    <tableColumn id="11" name="5" dataDxfId="964" totalsRowDxfId="963" dataCellStyle="Обычный 2 2 2"/>
    <tableColumn id="12" name="6" dataDxfId="962" totalsRowDxfId="961" dataCellStyle="Обычный 2 2 2"/>
    <tableColumn id="13" name="7" dataDxfId="960" dataCellStyle="Обычный 2 2 2"/>
    <tableColumn id="14" name="8" dataDxfId="959" dataCellStyle="Обычный 2 2 2"/>
    <tableColumn id="15" name="9" dataDxfId="958" dataCellStyle="Обычный 2 2 2"/>
    <tableColumn id="16" name="10" dataDxfId="957" dataCellStyle="Обычный 2 2 2"/>
    <tableColumn id="17" name="11" dataDxfId="956" totalsRowDxfId="955" dataCellStyle="Обычный 2 2 2"/>
    <tableColumn id="18" name="12" dataDxfId="954" totalsRowDxfId="953" dataCellStyle="Обычный 2 2 2"/>
    <tableColumn id="19" name="13" dataDxfId="952" totalsRowDxfId="951" dataCellStyle="Обычный 2 2 2"/>
    <tableColumn id="20" name="14" dataDxfId="950" dataCellStyle="Обычный 2 2 2"/>
    <tableColumn id="21" name="15" dataDxfId="949" dataCellStyle="Обычный 2 2 2"/>
    <tableColumn id="22" name="16" dataDxfId="948" dataCellStyle="Обычный 2 2 2"/>
    <tableColumn id="23" name="17" dataDxfId="947" dataCellStyle="Обычный 2 2 2"/>
    <tableColumn id="24" name="18" dataDxfId="946" totalsRowDxfId="945" dataCellStyle="Обычный 2 2 2"/>
    <tableColumn id="25" name="19" dataDxfId="944" totalsRowDxfId="943" dataCellStyle="Обычный 2 2 2"/>
    <tableColumn id="26" name="20" dataDxfId="942" totalsRowDxfId="941" dataCellStyle="Обычный 2 2 2"/>
    <tableColumn id="27" name="21" dataDxfId="940" dataCellStyle="Обычный 2 2 2"/>
    <tableColumn id="28" name="22" dataDxfId="939" dataCellStyle="Обычный 2 2 2"/>
    <tableColumn id="29" name="23" dataDxfId="938" dataCellStyle="Обычный 2 2 2"/>
    <tableColumn id="30" name="24" dataDxfId="937" dataCellStyle="Обычный 2 2 2"/>
    <tableColumn id="31" name="25" dataDxfId="936" totalsRowDxfId="935" dataCellStyle="Обычный 2 2 2"/>
    <tableColumn id="32" name="26" dataDxfId="934" totalsRowDxfId="933" dataCellStyle="Обычный 2 2 2"/>
    <tableColumn id="33" name="27" dataDxfId="932" totalsRowDxfId="931" dataCellStyle="Обычный 2 2 2"/>
    <tableColumn id="34" name="28" dataDxfId="930" dataCellStyle="Обычный 2 2 2"/>
    <tableColumn id="35" name="29" dataDxfId="929" dataCellStyle="Обычный 2 2 2"/>
    <tableColumn id="36" name="30" dataDxfId="928" dataCellStyle="Обычный 2 2 2"/>
    <tableColumn id="5" name="31" dataDxfId="927" dataCellStyle="Обычный 2 2 2"/>
    <tableColumn id="38" name="УСЛУГ" totalsRowFunction="sum" dataDxfId="926" totalsRowDxfId="925">
      <calculatedColumnFormula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calculatedColumnFormula>
    </tableColumn>
    <tableColumn id="39" name="МИНУТ" totalsRowFunction="sum" dataDxfId="924" totalsRowDxfId="923">
      <calculatedColumnFormula>IF(Март[[#This Row],[УСЛУГ]]&lt;&gt;"",Март[[#This Row],[УСЛУГ]]*Март[[#This Row],[Периодичность]],"")</calculatedColumnFormula>
    </tableColumn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id="16" name="МартИтоги" displayName="МартИтоги" ref="A12:AK17" totalsRowShown="0" headerRowDxfId="922" dataDxfId="921" tableBorderDxfId="920">
  <autoFilter ref="A12:AK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периодичность" dataDxfId="919"/>
    <tableColumn id="2" name="за неделю" dataDxfId="918">
      <calculatedColumnFormula>SUMPRODUCT((#REF!=1)*E16:AI16)</calculatedColumnFormula>
    </tableColumn>
    <tableColumn id="3" name="всего минут" dataDxfId="917">
      <calculatedColumnFormula>МартИтоги[[#This Row],[№]]*60</calculatedColumnFormula>
    </tableColumn>
    <tableColumn id="4" name="№" dataDxfId="916"/>
    <tableColumn id="5" name="1" dataDxfId="915">
      <calculatedColumnFormula>SUM(E10:E15)</calculatedColumnFormula>
    </tableColumn>
    <tableColumn id="6" name="2" dataDxfId="914"/>
    <tableColumn id="7" name="3" dataDxfId="913"/>
    <tableColumn id="8" name="4" dataDxfId="912"/>
    <tableColumn id="9" name="5" dataDxfId="911"/>
    <tableColumn id="10" name="6" dataDxfId="910"/>
    <tableColumn id="11" name="7" dataDxfId="909"/>
    <tableColumn id="12" name="8" dataDxfId="908"/>
    <tableColumn id="13" name="9" dataDxfId="907"/>
    <tableColumn id="14" name="10" dataDxfId="906"/>
    <tableColumn id="15" name="11" dataDxfId="905"/>
    <tableColumn id="16" name="12" dataDxfId="904"/>
    <tableColumn id="17" name="13" dataDxfId="903"/>
    <tableColumn id="18" name="14" dataDxfId="902"/>
    <tableColumn id="19" name="15" dataDxfId="901"/>
    <tableColumn id="20" name="16" dataDxfId="900"/>
    <tableColumn id="21" name="17" dataDxfId="899"/>
    <tableColumn id="22" name="18" dataDxfId="898"/>
    <tableColumn id="23" name="19" dataDxfId="897"/>
    <tableColumn id="24" name="20" dataDxfId="896"/>
    <tableColumn id="25" name="21" dataDxfId="895"/>
    <tableColumn id="26" name="22" dataDxfId="894"/>
    <tableColumn id="27" name="23" dataDxfId="893"/>
    <tableColumn id="28" name="24" dataDxfId="892"/>
    <tableColumn id="29" name="25" dataDxfId="891"/>
    <tableColumn id="30" name="26" dataDxfId="890"/>
    <tableColumn id="31" name="27" dataDxfId="889"/>
    <tableColumn id="32" name="28" dataDxfId="888"/>
    <tableColumn id="33" name="29" dataDxfId="887"/>
    <tableColumn id="34" name="30" dataDxfId="886"/>
    <tableColumn id="37" name="31" dataDxfId="885">
      <calculatedColumnFormula>SUMPRODUCT((Август[№]=1)*Август[31],Август[Периодичность])</calculatedColumnFormula>
    </tableColumn>
    <tableColumn id="35" name="УСЛУГ" dataDxfId="884">
      <calculatedColumnFormula>SUM(Сентябрь[УСЛУГ])</calculatedColumnFormula>
    </tableColumn>
    <tableColumn id="36" name="МИНУТ" dataDxfId="883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12.xml><?xml version="1.0" encoding="utf-8"?>
<table xmlns="http://schemas.openxmlformats.org/spreadsheetml/2006/main" id="13" name="Апрель" displayName="Апрель" ref="A24:AJ81" headerRowDxfId="880" dataDxfId="879" totalsRowDxfId="878">
  <autoFilter ref="A24:AJ8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name="Услуга" totalsRowLabel="Итог" dataDxfId="877"/>
    <tableColumn id="2" name="Объем" dataDxfId="876" totalsRowDxfId="875"/>
    <tableColumn id="3" name="Периодичность" dataDxfId="874" totalsRowDxfId="873">
      <calculatedColumnFormula>COUNTA(Апрель[#Headers])</calculatedColumnFormula>
    </tableColumn>
    <tableColumn id="4" name="№" dataDxfId="872" totalsRowDxfId="871"/>
    <tableColumn id="7" name="1" dataDxfId="870" dataCellStyle="Обычный 2 2 2"/>
    <tableColumn id="8" name="2" dataDxfId="869" dataCellStyle="Обычный 2 2 2"/>
    <tableColumn id="9" name="3" dataDxfId="868" dataCellStyle="Обычный 2 2 2"/>
    <tableColumn id="10" name="4" dataDxfId="867" totalsRowDxfId="866" dataCellStyle="Обычный 2 2 2"/>
    <tableColumn id="11" name="5" dataDxfId="865" totalsRowDxfId="864" dataCellStyle="Обычный 2 2 2"/>
    <tableColumn id="12" name="6" dataDxfId="863" totalsRowDxfId="862" dataCellStyle="Обычный 2 2 2"/>
    <tableColumn id="13" name="7" dataDxfId="861" dataCellStyle="Обычный 2 2 2"/>
    <tableColumn id="14" name="8" dataDxfId="860" dataCellStyle="Обычный 2 2 2"/>
    <tableColumn id="15" name="9" dataDxfId="859" dataCellStyle="Обычный 2 2 2"/>
    <tableColumn id="16" name="10" dataDxfId="858" dataCellStyle="Обычный 2 2 2"/>
    <tableColumn id="17" name="11" dataDxfId="857" totalsRowDxfId="856" dataCellStyle="Обычный 2 2 2"/>
    <tableColumn id="18" name="12" dataDxfId="855" totalsRowDxfId="854" dataCellStyle="Обычный 2 2 2"/>
    <tableColumn id="19" name="13" dataDxfId="853" totalsRowDxfId="852" dataCellStyle="Обычный 2 2 2"/>
    <tableColumn id="20" name="14" dataDxfId="851" dataCellStyle="Обычный 2 2 2"/>
    <tableColumn id="21" name="15" dataDxfId="850" dataCellStyle="Обычный 2 2 2"/>
    <tableColumn id="22" name="16" dataDxfId="849" dataCellStyle="Обычный 2 2 2"/>
    <tableColumn id="23" name="17" dataDxfId="848" dataCellStyle="Обычный 2 2 2"/>
    <tableColumn id="24" name="18" dataDxfId="847" totalsRowDxfId="846" dataCellStyle="Обычный 2 2 2"/>
    <tableColumn id="25" name="19" dataDxfId="845" totalsRowDxfId="844" dataCellStyle="Обычный 2 2 2"/>
    <tableColumn id="26" name="20" dataDxfId="843" totalsRowDxfId="842" dataCellStyle="Обычный 2 2 2"/>
    <tableColumn id="27" name="21" dataDxfId="841" dataCellStyle="Обычный 2 2 2"/>
    <tableColumn id="28" name="22" dataDxfId="840" dataCellStyle="Обычный 2 2 2"/>
    <tableColumn id="29" name="23" dataDxfId="839" dataCellStyle="Обычный 2 2 2"/>
    <tableColumn id="30" name="24" dataDxfId="838" dataCellStyle="Обычный 2 2 2"/>
    <tableColumn id="31" name="25" dataDxfId="837" totalsRowDxfId="836" dataCellStyle="Обычный 2 2 2"/>
    <tableColumn id="32" name="26" dataDxfId="835" totalsRowDxfId="834" dataCellStyle="Обычный 2 2 2"/>
    <tableColumn id="33" name="27" dataDxfId="833" totalsRowDxfId="832" dataCellStyle="Обычный 2 2 2"/>
    <tableColumn id="34" name="28" dataDxfId="831" dataCellStyle="Обычный 2 2 2"/>
    <tableColumn id="35" name="29" dataDxfId="830" dataCellStyle="Обычный 2 2 2"/>
    <tableColumn id="36" name="30" dataDxfId="829" dataCellStyle="Обычный 2 2 2"/>
    <tableColumn id="38" name="УСЛУГ" totalsRowFunction="sum" dataDxfId="828" totalsRowDxfId="827">
      <calculatedColumnFormula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calculatedColumnFormula>
    </tableColumn>
    <tableColumn id="39" name="МИНУТ" totalsRowFunction="sum" dataDxfId="826" totalsRowDxfId="825">
      <calculatedColumnFormula>IF(Апрель[[#This Row],[УСЛУГ]]&lt;&gt;"",Апрель[[#This Row],[УСЛУГ]]*Апрель[[#This Row],[Периодичность]],"")</calculatedColumnFormula>
    </tableColumn>
  </tableColumns>
  <tableStyleInfo name="TableStyleLight15" showFirstColumn="0" showLastColumn="0" showRowStripes="1" showColumnStripes="0"/>
</table>
</file>

<file path=xl/tables/table13.xml><?xml version="1.0" encoding="utf-8"?>
<table xmlns="http://schemas.openxmlformats.org/spreadsheetml/2006/main" id="14" name="АпрельИтоги" displayName="АпрельИтоги" ref="A12:AJ17" totalsRowShown="0" headerRowDxfId="824" dataDxfId="823" tableBorderDxfId="822">
  <autoFilter ref="A12:AJ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name="периодичность" dataDxfId="821"/>
    <tableColumn id="2" name="за неделю" dataDxfId="820">
      <calculatedColumnFormula>SUM(H23:L23)</calculatedColumnFormula>
    </tableColumn>
    <tableColumn id="3" name="всего минут" dataDxfId="819">
      <calculatedColumnFormula>АпрельИтоги[[#This Row],[№]]*60</calculatedColumnFormula>
    </tableColumn>
    <tableColumn id="4" name="№" dataDxfId="818"/>
    <tableColumn id="5" name="1" dataDxfId="817">
      <calculatedColumnFormula>SUM(E10:E19)</calculatedColumnFormula>
    </tableColumn>
    <tableColumn id="6" name="2" dataDxfId="816"/>
    <tableColumn id="7" name="3" dataDxfId="815"/>
    <tableColumn id="8" name="4" dataDxfId="814"/>
    <tableColumn id="9" name="5" dataDxfId="813"/>
    <tableColumn id="10" name="6" dataDxfId="812"/>
    <tableColumn id="11" name="7" dataDxfId="811"/>
    <tableColumn id="12" name="8" dataDxfId="810"/>
    <tableColumn id="13" name="9" dataDxfId="809"/>
    <tableColumn id="14" name="10" dataDxfId="808"/>
    <tableColumn id="15" name="11" dataDxfId="807"/>
    <tableColumn id="16" name="12" dataDxfId="806"/>
    <tableColumn id="17" name="13" dataDxfId="805"/>
    <tableColumn id="18" name="14" dataDxfId="804"/>
    <tableColumn id="19" name="15" dataDxfId="803"/>
    <tableColumn id="20" name="16" dataDxfId="802"/>
    <tableColumn id="21" name="17" dataDxfId="801"/>
    <tableColumn id="22" name="18" dataDxfId="800"/>
    <tableColumn id="23" name="19" dataDxfId="799"/>
    <tableColumn id="24" name="20" dataDxfId="798"/>
    <tableColumn id="25" name="21" dataDxfId="797"/>
    <tableColumn id="26" name="22" dataDxfId="796"/>
    <tableColumn id="27" name="23" dataDxfId="795"/>
    <tableColumn id="28" name="24" dataDxfId="794"/>
    <tableColumn id="29" name="25" dataDxfId="793"/>
    <tableColumn id="30" name="26" dataDxfId="792"/>
    <tableColumn id="31" name="27" dataDxfId="791"/>
    <tableColumn id="32" name="28" dataDxfId="790"/>
    <tableColumn id="33" name="29" dataDxfId="789"/>
    <tableColumn id="34" name="30" dataDxfId="788"/>
    <tableColumn id="35" name="УСЛУГ" dataDxfId="787">
      <calculatedColumnFormula>SUM(Сентябрь[УСЛУГ])</calculatedColumnFormula>
    </tableColumn>
    <tableColumn id="36" name="МИНУТ" dataDxfId="786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14.xml><?xml version="1.0" encoding="utf-8"?>
<table xmlns="http://schemas.openxmlformats.org/spreadsheetml/2006/main" id="11" name="Май" displayName="Май" ref="A24:AK81" headerRowDxfId="783" dataDxfId="782" totalsRowDxfId="781">
  <autoFilter ref="A24:AK8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Услуга" totalsRowLabel="Итог" dataDxfId="780"/>
    <tableColumn id="2" name="Объем" dataDxfId="779" totalsRowDxfId="778"/>
    <tableColumn id="3" name="Периодичность" dataDxfId="777" totalsRowDxfId="776"/>
    <tableColumn id="4" name="№" dataDxfId="775" totalsRowDxfId="774"/>
    <tableColumn id="7" name="1" dataDxfId="773" dataCellStyle="Обычный 2 2 2"/>
    <tableColumn id="8" name="2" dataDxfId="772" dataCellStyle="Обычный 2 2 2"/>
    <tableColumn id="9" name="3" dataDxfId="771" dataCellStyle="Обычный 2 2 2"/>
    <tableColumn id="10" name="4" dataDxfId="770" totalsRowDxfId="769" dataCellStyle="Обычный 2 2 2"/>
    <tableColumn id="11" name="5" dataDxfId="768" totalsRowDxfId="767" dataCellStyle="Обычный 2 2 2"/>
    <tableColumn id="12" name="6" dataDxfId="766" totalsRowDxfId="765" dataCellStyle="Обычный 2 2 2"/>
    <tableColumn id="13" name="7" dataDxfId="764" dataCellStyle="Обычный 2 2 2"/>
    <tableColumn id="14" name="8" dataDxfId="763" dataCellStyle="Обычный 2 2 2"/>
    <tableColumn id="15" name="9" dataDxfId="762" dataCellStyle="Обычный 2 2 2"/>
    <tableColumn id="16" name="10" dataDxfId="761" dataCellStyle="Обычный 2 2 2"/>
    <tableColumn id="17" name="11" dataDxfId="760" totalsRowDxfId="759" dataCellStyle="Обычный 2 2 2"/>
    <tableColumn id="18" name="12" dataDxfId="758" totalsRowDxfId="757" dataCellStyle="Обычный 2 2 2"/>
    <tableColumn id="19" name="13" dataDxfId="756" totalsRowDxfId="755" dataCellStyle="Обычный 2 2 2"/>
    <tableColumn id="20" name="14" dataDxfId="754" dataCellStyle="Обычный 2 2 2"/>
    <tableColumn id="21" name="15" dataDxfId="753" dataCellStyle="Обычный 2 2 2"/>
    <tableColumn id="22" name="16" dataDxfId="752" dataCellStyle="Обычный 2 2 2"/>
    <tableColumn id="23" name="17" dataDxfId="751" dataCellStyle="Обычный 2 2 2"/>
    <tableColumn id="24" name="18" dataDxfId="750" totalsRowDxfId="749" dataCellStyle="Обычный 2 2 2"/>
    <tableColumn id="25" name="19" dataDxfId="748" totalsRowDxfId="747" dataCellStyle="Обычный 2 2 2"/>
    <tableColumn id="26" name="20" dataDxfId="746" totalsRowDxfId="745" dataCellStyle="Обычный 2 2 2"/>
    <tableColumn id="27" name="21" dataDxfId="744" dataCellStyle="Обычный 2 2 2"/>
    <tableColumn id="28" name="22" dataDxfId="743" dataCellStyle="Обычный 2 2 2"/>
    <tableColumn id="29" name="23" dataDxfId="742" dataCellStyle="Обычный 2 2 2"/>
    <tableColumn id="30" name="24" dataDxfId="741" dataCellStyle="Обычный 2 2 2"/>
    <tableColumn id="31" name="25" dataDxfId="740" totalsRowDxfId="739" dataCellStyle="Обычный 2 2 2"/>
    <tableColumn id="32" name="26" dataDxfId="738" totalsRowDxfId="737" dataCellStyle="Обычный 2 2 2"/>
    <tableColumn id="33" name="27" dataDxfId="736" totalsRowDxfId="735" dataCellStyle="Обычный 2 2 2"/>
    <tableColumn id="34" name="28" dataDxfId="734" dataCellStyle="Обычный 2 2 2"/>
    <tableColumn id="35" name="29" dataDxfId="733" dataCellStyle="Обычный 2 2 2"/>
    <tableColumn id="36" name="30" dataDxfId="732" dataCellStyle="Обычный 2 2 2"/>
    <tableColumn id="5" name="31" dataDxfId="731" dataCellStyle="Обычный 2 2 2"/>
    <tableColumn id="38" name="УСЛУГ" totalsRowFunction="sum" dataDxfId="730" totalsRowDxfId="729">
      <calculatedColumnFormula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calculatedColumnFormula>
    </tableColumn>
    <tableColumn id="39" name="МИНУТ" totalsRowFunction="sum" dataDxfId="728" totalsRowDxfId="727">
      <calculatedColumnFormula>IF(Май[[#This Row],[УСЛУГ]]&lt;&gt;"",Май[[#This Row],[УСЛУГ]]*Май[[#This Row],[Периодичность]],"")</calculatedColumnFormula>
    </tableColumn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id="12" name="МайИтоги" displayName="МайИтоги" ref="A12:AK17" totalsRowShown="0" headerRowDxfId="726" dataDxfId="725" tableBorderDxfId="724">
  <autoFilter ref="A12:AK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периодичность" dataDxfId="723"/>
    <tableColumn id="2" name="за неделю" dataDxfId="722">
      <calculatedColumnFormula>SUMPRODUCT((#REF!=1)*E16:AI16)</calculatedColumnFormula>
    </tableColumn>
    <tableColumn id="3" name="всего минут" dataDxfId="721">
      <calculatedColumnFormula>МайИтоги[[#This Row],[№]]*60</calculatedColumnFormula>
    </tableColumn>
    <tableColumn id="4" name="№" dataDxfId="720"/>
    <tableColumn id="5" name="1" dataDxfId="719">
      <calculatedColumnFormula>SUM(E10:E15)</calculatedColumnFormula>
    </tableColumn>
    <tableColumn id="6" name="2" dataDxfId="718"/>
    <tableColumn id="7" name="3" dataDxfId="717"/>
    <tableColumn id="8" name="4" dataDxfId="716"/>
    <tableColumn id="9" name="5" dataDxfId="715"/>
    <tableColumn id="10" name="6" dataDxfId="714"/>
    <tableColumn id="11" name="7" dataDxfId="713"/>
    <tableColumn id="12" name="8" dataDxfId="712"/>
    <tableColumn id="13" name="9" dataDxfId="711"/>
    <tableColumn id="14" name="10" dataDxfId="710"/>
    <tableColumn id="15" name="11" dataDxfId="709"/>
    <tableColumn id="16" name="12" dataDxfId="708"/>
    <tableColumn id="17" name="13" dataDxfId="707"/>
    <tableColumn id="18" name="14" dataDxfId="706"/>
    <tableColumn id="19" name="15" dataDxfId="705"/>
    <tableColumn id="20" name="16" dataDxfId="704"/>
    <tableColumn id="21" name="17" dataDxfId="703"/>
    <tableColumn id="22" name="18" dataDxfId="702"/>
    <tableColumn id="23" name="19" dataDxfId="701"/>
    <tableColumn id="24" name="20" dataDxfId="700"/>
    <tableColumn id="25" name="21" dataDxfId="699"/>
    <tableColumn id="26" name="22" dataDxfId="698"/>
    <tableColumn id="27" name="23" dataDxfId="697"/>
    <tableColumn id="28" name="24" dataDxfId="696"/>
    <tableColumn id="29" name="25" dataDxfId="695"/>
    <tableColumn id="30" name="26" dataDxfId="694"/>
    <tableColumn id="31" name="27" dataDxfId="693"/>
    <tableColumn id="32" name="28" dataDxfId="692"/>
    <tableColumn id="33" name="29" dataDxfId="691"/>
    <tableColumn id="34" name="30" dataDxfId="690"/>
    <tableColumn id="37" name="31" dataDxfId="689">
      <calculatedColumnFormula>SUMPRODUCT((Август[№]=1)*Август[31],Август[Периодичность])</calculatedColumnFormula>
    </tableColumn>
    <tableColumn id="35" name="УСЛУГ" dataDxfId="688">
      <calculatedColumnFormula>SUM(Сентябрь[УСЛУГ])</calculatedColumnFormula>
    </tableColumn>
    <tableColumn id="36" name="МИНУТ" dataDxfId="687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16.xml><?xml version="1.0" encoding="utf-8"?>
<table xmlns="http://schemas.openxmlformats.org/spreadsheetml/2006/main" id="9" name="Июнь" displayName="Июнь" ref="A24:AJ81" headerRowDxfId="684" dataDxfId="683" totalsRowDxfId="682">
  <autoFilter ref="A24:AJ8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name="Услуга" totalsRowLabel="Итог" dataDxfId="681"/>
    <tableColumn id="2" name="Объем" dataDxfId="680" totalsRowDxfId="679"/>
    <tableColumn id="3" name="Периодичность" dataDxfId="678" totalsRowDxfId="677">
      <calculatedColumnFormula>COUNTA(Июнь[#Headers])</calculatedColumnFormula>
    </tableColumn>
    <tableColumn id="4" name="№" dataDxfId="676" totalsRowDxfId="675"/>
    <tableColumn id="7" name="1" dataDxfId="674" dataCellStyle="Обычный 2 2 2"/>
    <tableColumn id="8" name="2" dataDxfId="673" dataCellStyle="Обычный 2 2 2"/>
    <tableColumn id="9" name="3" dataDxfId="672" dataCellStyle="Обычный 2 2 2"/>
    <tableColumn id="10" name="4" dataDxfId="671" totalsRowDxfId="670" dataCellStyle="Обычный 2 2 2"/>
    <tableColumn id="11" name="5" dataDxfId="669" totalsRowDxfId="668" dataCellStyle="Обычный 2 2 2"/>
    <tableColumn id="12" name="6" dataDxfId="667" totalsRowDxfId="666" dataCellStyle="Обычный 2 2 2"/>
    <tableColumn id="13" name="7" dataDxfId="665" dataCellStyle="Обычный 2 2 2"/>
    <tableColumn id="14" name="8" dataDxfId="664" dataCellStyle="Обычный 2 2 2"/>
    <tableColumn id="15" name="9" dataDxfId="663" dataCellStyle="Обычный 2 2 2"/>
    <tableColumn id="16" name="10" dataDxfId="662" dataCellStyle="Обычный 2 2 2"/>
    <tableColumn id="17" name="11" dataDxfId="661" totalsRowDxfId="660" dataCellStyle="Обычный 2 2 2"/>
    <tableColumn id="18" name="12" dataDxfId="659" totalsRowDxfId="658" dataCellStyle="Обычный 2 2 2"/>
    <tableColumn id="19" name="13" dataDxfId="657" totalsRowDxfId="656" dataCellStyle="Обычный 2 2 2"/>
    <tableColumn id="20" name="14" dataDxfId="655" dataCellStyle="Обычный 2 2 2"/>
    <tableColumn id="21" name="15" dataDxfId="654" dataCellStyle="Обычный 2 2 2"/>
    <tableColumn id="22" name="16" dataDxfId="653" dataCellStyle="Обычный 2 2 2"/>
    <tableColumn id="23" name="17" dataDxfId="652" dataCellStyle="Обычный 2 2 2"/>
    <tableColumn id="24" name="18" dataDxfId="651" totalsRowDxfId="650" dataCellStyle="Обычный 2 2 2"/>
    <tableColumn id="25" name="19" dataDxfId="649" totalsRowDxfId="648" dataCellStyle="Обычный 2 2 2"/>
    <tableColumn id="26" name="20" dataDxfId="647" totalsRowDxfId="646" dataCellStyle="Обычный 2 2 2"/>
    <tableColumn id="27" name="21" dataDxfId="645" dataCellStyle="Обычный 2 2 2"/>
    <tableColumn id="28" name="22" dataDxfId="644" dataCellStyle="Обычный 2 2 2"/>
    <tableColumn id="29" name="23" dataDxfId="643" dataCellStyle="Обычный 2 2 2"/>
    <tableColumn id="30" name="24" dataDxfId="642" dataCellStyle="Обычный 2 2 2"/>
    <tableColumn id="31" name="25" dataDxfId="641" totalsRowDxfId="640" dataCellStyle="Обычный 2 2 2"/>
    <tableColumn id="32" name="26" dataDxfId="639" totalsRowDxfId="638" dataCellStyle="Обычный 2 2 2"/>
    <tableColumn id="33" name="27" dataDxfId="637" totalsRowDxfId="636" dataCellStyle="Обычный 2 2 2"/>
    <tableColumn id="34" name="28" dataDxfId="635" dataCellStyle="Обычный 2 2 2"/>
    <tableColumn id="35" name="29" dataDxfId="634" dataCellStyle="Обычный 2 2 2"/>
    <tableColumn id="36" name="30" dataDxfId="633" dataCellStyle="Обычный 2 2 2"/>
    <tableColumn id="38" name="УСЛУГ" totalsRowFunction="sum" dataDxfId="632" totalsRowDxfId="631">
      <calculatedColumnFormula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calculatedColumnFormula>
    </tableColumn>
    <tableColumn id="39" name="МИНУТ" totalsRowFunction="sum" dataDxfId="630" totalsRowDxfId="629">
      <calculatedColumnFormula>IF(Июнь[[#This Row],[УСЛУГ]]&lt;&gt;"",Июнь[[#This Row],[УСЛУГ]]*Июнь[[#This Row],[Периодичность]],"")</calculatedColumnFormula>
    </tableColumn>
  </tableColumns>
  <tableStyleInfo name="TableStyleLight15" showFirstColumn="0" showLastColumn="0" showRowStripes="1" showColumnStripes="0"/>
</table>
</file>

<file path=xl/tables/table17.xml><?xml version="1.0" encoding="utf-8"?>
<table xmlns="http://schemas.openxmlformats.org/spreadsheetml/2006/main" id="10" name="ИюньИтоги" displayName="ИюньИтоги" ref="A12:AJ17" totalsRowShown="0" headerRowDxfId="628" dataDxfId="627" tableBorderDxfId="626">
  <autoFilter ref="A12:AJ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name="периодичность" dataDxfId="625"/>
    <tableColumn id="2" name="за неделю" dataDxfId="624">
      <calculatedColumnFormula>SUM(H23:L23)</calculatedColumnFormula>
    </tableColumn>
    <tableColumn id="3" name="всего минут" dataDxfId="623">
      <calculatedColumnFormula>ИюньИтоги[[#This Row],[№]]*60</calculatedColumnFormula>
    </tableColumn>
    <tableColumn id="4" name="№" dataDxfId="622"/>
    <tableColumn id="5" name="1" dataDxfId="621">
      <calculatedColumnFormula>SUM(E10:E19)</calculatedColumnFormula>
    </tableColumn>
    <tableColumn id="6" name="2" dataDxfId="620"/>
    <tableColumn id="7" name="3" dataDxfId="619"/>
    <tableColumn id="8" name="4" dataDxfId="618"/>
    <tableColumn id="9" name="5" dataDxfId="617"/>
    <tableColumn id="10" name="6" dataDxfId="616"/>
    <tableColumn id="11" name="7" dataDxfId="615"/>
    <tableColumn id="12" name="8" dataDxfId="614"/>
    <tableColumn id="13" name="9" dataDxfId="613"/>
    <tableColumn id="14" name="10" dataDxfId="612"/>
    <tableColumn id="15" name="11" dataDxfId="611"/>
    <tableColumn id="16" name="12" dataDxfId="610"/>
    <tableColumn id="17" name="13" dataDxfId="609"/>
    <tableColumn id="18" name="14" dataDxfId="608"/>
    <tableColumn id="19" name="15" dataDxfId="607"/>
    <tableColumn id="20" name="16" dataDxfId="606"/>
    <tableColumn id="21" name="17" dataDxfId="605"/>
    <tableColumn id="22" name="18" dataDxfId="604"/>
    <tableColumn id="23" name="19" dataDxfId="603"/>
    <tableColumn id="24" name="20" dataDxfId="602"/>
    <tableColumn id="25" name="21" dataDxfId="601"/>
    <tableColumn id="26" name="22" dataDxfId="600"/>
    <tableColumn id="27" name="23" dataDxfId="599"/>
    <tableColumn id="28" name="24" dataDxfId="598"/>
    <tableColumn id="29" name="25" dataDxfId="597"/>
    <tableColumn id="30" name="26" dataDxfId="596"/>
    <tableColumn id="31" name="27" dataDxfId="595"/>
    <tableColumn id="32" name="28" dataDxfId="594"/>
    <tableColumn id="33" name="29" dataDxfId="593"/>
    <tableColumn id="34" name="30" dataDxfId="592"/>
    <tableColumn id="35" name="УСЛУГ" dataDxfId="591">
      <calculatedColumnFormula>SUM(Сентябрь[УСЛУГ])</calculatedColumnFormula>
    </tableColumn>
    <tableColumn id="36" name="МИНУТ" dataDxfId="590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18.xml><?xml version="1.0" encoding="utf-8"?>
<table xmlns="http://schemas.openxmlformats.org/spreadsheetml/2006/main" id="7" name="Июль" displayName="Июль" ref="A24:AK81" headerRowDxfId="587" dataDxfId="586" totalsRowDxfId="585">
  <autoFilter ref="A24:AK8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Услуга" totalsRowLabel="Итог" dataDxfId="584"/>
    <tableColumn id="2" name="Объем" dataDxfId="583" totalsRowDxfId="582"/>
    <tableColumn id="3" name="Периодичность" dataDxfId="581" totalsRowDxfId="580"/>
    <tableColumn id="4" name="№" dataDxfId="579" totalsRowDxfId="578"/>
    <tableColumn id="7" name="1" dataDxfId="577" dataCellStyle="Обычный 2 2 2"/>
    <tableColumn id="8" name="2" dataDxfId="576" dataCellStyle="Обычный 2 2 2"/>
    <tableColumn id="9" name="3" dataDxfId="575" dataCellStyle="Обычный 2 2 2"/>
    <tableColumn id="10" name="4" dataDxfId="574" totalsRowDxfId="573" dataCellStyle="Обычный 2 2 2"/>
    <tableColumn id="11" name="5" dataDxfId="572" totalsRowDxfId="571" dataCellStyle="Обычный 2 2 2"/>
    <tableColumn id="12" name="6" dataDxfId="570" totalsRowDxfId="569" dataCellStyle="Обычный 2 2 2"/>
    <tableColumn id="13" name="7" dataDxfId="568" dataCellStyle="Обычный 2 2 2"/>
    <tableColumn id="14" name="8" dataDxfId="567" dataCellStyle="Обычный 2 2 2"/>
    <tableColumn id="15" name="9" dataDxfId="566" dataCellStyle="Обычный 2 2 2"/>
    <tableColumn id="16" name="10" dataDxfId="565" dataCellStyle="Обычный 2 2 2"/>
    <tableColumn id="17" name="11" dataDxfId="564" totalsRowDxfId="563" dataCellStyle="Обычный 2 2 2"/>
    <tableColumn id="18" name="12" dataDxfId="562" totalsRowDxfId="561" dataCellStyle="Обычный 2 2 2"/>
    <tableColumn id="19" name="13" dataDxfId="560" totalsRowDxfId="559" dataCellStyle="Обычный 2 2 2"/>
    <tableColumn id="20" name="14" dataDxfId="558" dataCellStyle="Обычный 2 2 2"/>
    <tableColumn id="21" name="15" dataDxfId="557" dataCellStyle="Обычный 2 2 2"/>
    <tableColumn id="22" name="16" dataDxfId="556" dataCellStyle="Обычный 2 2 2"/>
    <tableColumn id="23" name="17" dataDxfId="555" dataCellStyle="Обычный 2 2 2"/>
    <tableColumn id="24" name="18" dataDxfId="554" totalsRowDxfId="553" dataCellStyle="Обычный 2 2 2"/>
    <tableColumn id="25" name="19" dataDxfId="552" totalsRowDxfId="551" dataCellStyle="Обычный 2 2 2"/>
    <tableColumn id="26" name="20" dataDxfId="550" totalsRowDxfId="549" dataCellStyle="Обычный 2 2 2"/>
    <tableColumn id="27" name="21" dataDxfId="548" dataCellStyle="Обычный 2 2 2"/>
    <tableColumn id="28" name="22" dataDxfId="547" dataCellStyle="Обычный 2 2 2"/>
    <tableColumn id="29" name="23" dataDxfId="546" dataCellStyle="Обычный 2 2 2"/>
    <tableColumn id="30" name="24" dataDxfId="545" dataCellStyle="Обычный 2 2 2"/>
    <tableColumn id="31" name="25" dataDxfId="544" totalsRowDxfId="543" dataCellStyle="Обычный 2 2 2"/>
    <tableColumn id="32" name="26" dataDxfId="542" totalsRowDxfId="541" dataCellStyle="Обычный 2 2 2"/>
    <tableColumn id="33" name="27" dataDxfId="540" totalsRowDxfId="539" dataCellStyle="Обычный 2 2 2"/>
    <tableColumn id="34" name="28" dataDxfId="538" dataCellStyle="Обычный 2 2 2"/>
    <tableColumn id="35" name="29" dataDxfId="537" dataCellStyle="Обычный 2 2 2"/>
    <tableColumn id="36" name="30" dataDxfId="536" dataCellStyle="Обычный 2 2 2"/>
    <tableColumn id="5" name="31" dataDxfId="535" dataCellStyle="Обычный 2 2 2"/>
    <tableColumn id="38" name="УСЛУГ" totalsRowFunction="sum" dataDxfId="534" totalsRowDxfId="533">
      <calculatedColumnFormula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calculatedColumnFormula>
    </tableColumn>
    <tableColumn id="39" name="МИНУТ" totalsRowFunction="sum" dataDxfId="532" totalsRowDxfId="531">
      <calculatedColumnFormula>IF(Июль[[#This Row],[УСЛУГ]]&lt;&gt;"",Июль[[#This Row],[УСЛУГ]]*Июль[[#This Row],[Периодичность]],"")</calculatedColumnFormula>
    </tableColumn>
  </tableColumns>
  <tableStyleInfo name="TableStyleLight15" showFirstColumn="0" showLastColumn="0" showRowStripes="1" showColumnStripes="0"/>
</table>
</file>

<file path=xl/tables/table19.xml><?xml version="1.0" encoding="utf-8"?>
<table xmlns="http://schemas.openxmlformats.org/spreadsheetml/2006/main" id="8" name="ИюльИтоги" displayName="ИюльИтоги" ref="A12:AK17" totalsRowShown="0" headerRowDxfId="530" dataDxfId="529" tableBorderDxfId="528">
  <autoFilter ref="A12:AK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периодичность" dataDxfId="527"/>
    <tableColumn id="2" name="за неделю" dataDxfId="526">
      <calculatedColumnFormula>SUMPRODUCT((#REF!=1)*E16:AI16)</calculatedColumnFormula>
    </tableColumn>
    <tableColumn id="3" name="всего минут" dataDxfId="525">
      <calculatedColumnFormula>ИюльИтоги[[#This Row],[№]]*60</calculatedColumnFormula>
    </tableColumn>
    <tableColumn id="4" name="№" dataDxfId="524"/>
    <tableColumn id="5" name="1" dataDxfId="523">
      <calculatedColumnFormula>SUM(E10:E15)</calculatedColumnFormula>
    </tableColumn>
    <tableColumn id="6" name="2" dataDxfId="522"/>
    <tableColumn id="7" name="3" dataDxfId="521"/>
    <tableColumn id="8" name="4" dataDxfId="520"/>
    <tableColumn id="9" name="5" dataDxfId="519"/>
    <tableColumn id="10" name="6" dataDxfId="518"/>
    <tableColumn id="11" name="7" dataDxfId="517"/>
    <tableColumn id="12" name="8" dataDxfId="516"/>
    <tableColumn id="13" name="9" dataDxfId="515"/>
    <tableColumn id="14" name="10" dataDxfId="514"/>
    <tableColumn id="15" name="11" dataDxfId="513"/>
    <tableColumn id="16" name="12" dataDxfId="512"/>
    <tableColumn id="17" name="13" dataDxfId="511"/>
    <tableColumn id="18" name="14" dataDxfId="510"/>
    <tableColumn id="19" name="15" dataDxfId="509"/>
    <tableColumn id="20" name="16" dataDxfId="508"/>
    <tableColumn id="21" name="17" dataDxfId="507"/>
    <tableColumn id="22" name="18" dataDxfId="506"/>
    <tableColumn id="23" name="19" dataDxfId="505"/>
    <tableColumn id="24" name="20" dataDxfId="504"/>
    <tableColumn id="25" name="21" dataDxfId="503"/>
    <tableColumn id="26" name="22" dataDxfId="502"/>
    <tableColumn id="27" name="23" dataDxfId="501"/>
    <tableColumn id="28" name="24" dataDxfId="500"/>
    <tableColumn id="29" name="25" dataDxfId="499"/>
    <tableColumn id="30" name="26" dataDxfId="498"/>
    <tableColumn id="31" name="27" dataDxfId="497"/>
    <tableColumn id="32" name="28" dataDxfId="496"/>
    <tableColumn id="33" name="29" dataDxfId="495"/>
    <tableColumn id="34" name="30" dataDxfId="494"/>
    <tableColumn id="37" name="31" dataDxfId="493">
      <calculatedColumnFormula>SUMPRODUCT((Август[№]=1)*Август[31],Август[Периодичность])</calculatedColumnFormula>
    </tableColumn>
    <tableColumn id="35" name="УСЛУГ" dataDxfId="492">
      <calculatedColumnFormula>SUM(Сентябрь[УСЛУГ])</calculatedColumnFormula>
    </tableColumn>
    <tableColumn id="36" name="МИНУТ" dataDxfId="491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Посещения" displayName="Посещения" ref="D1:D4" totalsRowShown="0" headerRowDxfId="1249" dataDxfId="1248">
  <autoFilter ref="D1:D4">
    <filterColumn colId="0" hiddenButton="1"/>
  </autoFilter>
  <tableColumns count="1">
    <tableColumn id="1" name="№ Посещения" dataDxfId="124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4" name="Август" displayName="Август" ref="A24:AK81" headerRowDxfId="488" dataDxfId="487" totalsRowDxfId="486">
  <autoFilter ref="A24:AK8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Услуга" totalsRowLabel="Итог" dataDxfId="485"/>
    <tableColumn id="2" name="Объем" dataDxfId="484" totalsRowDxfId="483"/>
    <tableColumn id="3" name="Периодичность" dataDxfId="482" totalsRowDxfId="481"/>
    <tableColumn id="4" name="№" dataDxfId="480" totalsRowDxfId="479"/>
    <tableColumn id="7" name="1" dataDxfId="478" dataCellStyle="Обычный 2 2 2"/>
    <tableColumn id="8" name="2" dataDxfId="477" dataCellStyle="Обычный 2 2 2"/>
    <tableColumn id="9" name="3" dataDxfId="476" dataCellStyle="Обычный 2 2 2"/>
    <tableColumn id="10" name="4" dataDxfId="475" totalsRowDxfId="474" dataCellStyle="Обычный 2 2 2"/>
    <tableColumn id="11" name="5" dataDxfId="473" totalsRowDxfId="472" dataCellStyle="Обычный 2 2 2"/>
    <tableColumn id="12" name="6" dataDxfId="471" totalsRowDxfId="470" dataCellStyle="Обычный 2 2 2"/>
    <tableColumn id="13" name="7" dataDxfId="469" dataCellStyle="Обычный 2 2 2"/>
    <tableColumn id="14" name="8" dataDxfId="468" dataCellStyle="Обычный 2 2 2"/>
    <tableColumn id="15" name="9" dataDxfId="467" dataCellStyle="Обычный 2 2 2"/>
    <tableColumn id="16" name="10" dataDxfId="466" dataCellStyle="Обычный 2 2 2"/>
    <tableColumn id="17" name="11" dataDxfId="465" totalsRowDxfId="464" dataCellStyle="Обычный 2 2 2"/>
    <tableColumn id="18" name="12" dataDxfId="463" totalsRowDxfId="462" dataCellStyle="Обычный 2 2 2"/>
    <tableColumn id="19" name="13" dataDxfId="461" totalsRowDxfId="460" dataCellStyle="Обычный 2 2 2"/>
    <tableColumn id="20" name="14" dataDxfId="459" dataCellStyle="Обычный 2 2 2"/>
    <tableColumn id="21" name="15" dataDxfId="458" dataCellStyle="Обычный 2 2 2"/>
    <tableColumn id="22" name="16" dataDxfId="457" dataCellStyle="Обычный 2 2 2"/>
    <tableColumn id="23" name="17" dataDxfId="456" dataCellStyle="Обычный 2 2 2"/>
    <tableColumn id="24" name="18" dataDxfId="455" totalsRowDxfId="454" dataCellStyle="Обычный 2 2 2"/>
    <tableColumn id="25" name="19" dataDxfId="453" totalsRowDxfId="452" dataCellStyle="Обычный 2 2 2"/>
    <tableColumn id="26" name="20" dataDxfId="451" totalsRowDxfId="450" dataCellStyle="Обычный 2 2 2"/>
    <tableColumn id="27" name="21" dataDxfId="449" dataCellStyle="Обычный 2 2 2"/>
    <tableColumn id="28" name="22" dataDxfId="448" dataCellStyle="Обычный 2 2 2"/>
    <tableColumn id="29" name="23" dataDxfId="447" dataCellStyle="Обычный 2 2 2"/>
    <tableColumn id="30" name="24" dataDxfId="446" dataCellStyle="Обычный 2 2 2"/>
    <tableColumn id="31" name="25" dataDxfId="445" totalsRowDxfId="444" dataCellStyle="Обычный 2 2 2"/>
    <tableColumn id="32" name="26" dataDxfId="443" totalsRowDxfId="442" dataCellStyle="Обычный 2 2 2"/>
    <tableColumn id="33" name="27" dataDxfId="441" totalsRowDxfId="440" dataCellStyle="Обычный 2 2 2"/>
    <tableColumn id="34" name="28" dataDxfId="439" dataCellStyle="Обычный 2 2 2"/>
    <tableColumn id="35" name="29" dataDxfId="438" dataCellStyle="Обычный 2 2 2"/>
    <tableColumn id="36" name="30" dataDxfId="437" dataCellStyle="Обычный 2 2 2"/>
    <tableColumn id="5" name="31" dataDxfId="436" dataCellStyle="Обычный 2 2 2"/>
    <tableColumn id="38" name="УСЛУГ" totalsRowFunction="sum" dataDxfId="435" totalsRowDxfId="434">
      <calculatedColumnFormula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calculatedColumnFormula>
    </tableColumn>
    <tableColumn id="39" name="МИНУТ" totalsRowFunction="sum" dataDxfId="433" totalsRowDxfId="432">
      <calculatedColumnFormula>IF(Август[[#This Row],[УСЛУГ]]&lt;&gt;"",Август[[#This Row],[УСЛУГ]]*Август[[#This Row],[Периодичность]],"")</calculatedColumnFormula>
    </tableColumn>
  </tableColumns>
  <tableStyleInfo name="TableStyleLight15" showFirstColumn="0" showLastColumn="0" showRowStripes="1" showColumnStripes="0"/>
</table>
</file>

<file path=xl/tables/table21.xml><?xml version="1.0" encoding="utf-8"?>
<table xmlns="http://schemas.openxmlformats.org/spreadsheetml/2006/main" id="5" name="АвгустИтоги" displayName="АвгустИтоги" ref="A12:AK17" totalsRowShown="0" headerRowDxfId="431" dataDxfId="430" tableBorderDxfId="429">
  <autoFilter ref="A12:AK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периодичность" dataDxfId="428"/>
    <tableColumn id="2" name="за неделю" dataDxfId="427">
      <calculatedColumnFormula>SUM(E16:H16)</calculatedColumnFormula>
    </tableColumn>
    <tableColumn id="3" name="всего минут" dataDxfId="426">
      <calculatedColumnFormula>АвгустИтоги[[#This Row],[№]]*60</calculatedColumnFormula>
    </tableColumn>
    <tableColumn id="4" name="№" dataDxfId="425"/>
    <tableColumn id="5" name="1" dataDxfId="424">
      <calculatedColumnFormula>SUM(E10:E16)</calculatedColumnFormula>
    </tableColumn>
    <tableColumn id="6" name="2" dataDxfId="423"/>
    <tableColumn id="7" name="3" dataDxfId="422"/>
    <tableColumn id="8" name="4" dataDxfId="421"/>
    <tableColumn id="9" name="5" dataDxfId="420"/>
    <tableColumn id="10" name="6" dataDxfId="419"/>
    <tableColumn id="11" name="7" dataDxfId="418"/>
    <tableColumn id="12" name="8" dataDxfId="417"/>
    <tableColumn id="13" name="9" dataDxfId="416"/>
    <tableColumn id="14" name="10" dataDxfId="415"/>
    <tableColumn id="15" name="11" dataDxfId="414"/>
    <tableColumn id="16" name="12" dataDxfId="413"/>
    <tableColumn id="17" name="13" dataDxfId="412"/>
    <tableColumn id="18" name="14" dataDxfId="411"/>
    <tableColumn id="19" name="15" dataDxfId="410"/>
    <tableColumn id="20" name="16" dataDxfId="409"/>
    <tableColumn id="21" name="17" dataDxfId="408"/>
    <tableColumn id="22" name="18" dataDxfId="407"/>
    <tableColumn id="23" name="19" dataDxfId="406"/>
    <tableColumn id="24" name="20" dataDxfId="405"/>
    <tableColumn id="25" name="21" dataDxfId="404"/>
    <tableColumn id="26" name="22" dataDxfId="403"/>
    <tableColumn id="27" name="23" dataDxfId="402"/>
    <tableColumn id="28" name="24" dataDxfId="401"/>
    <tableColumn id="29" name="25" dataDxfId="400"/>
    <tableColumn id="30" name="26" dataDxfId="399"/>
    <tableColumn id="31" name="27" dataDxfId="398"/>
    <tableColumn id="32" name="28" dataDxfId="397"/>
    <tableColumn id="33" name="29" dataDxfId="396"/>
    <tableColumn id="34" name="30" dataDxfId="395"/>
    <tableColumn id="37" name="31" dataDxfId="394">
      <calculatedColumnFormula>SUMPRODUCT((Август[№]=1)*Август[31],Август[Периодичность])</calculatedColumnFormula>
    </tableColumn>
    <tableColumn id="35" name="УСЛУГ" dataDxfId="393">
      <calculatedColumnFormula>SUM(Сентябрь[УСЛУГ])</calculatedColumnFormula>
    </tableColumn>
    <tableColumn id="36" name="МИНУТ" dataDxfId="392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22.xml><?xml version="1.0" encoding="utf-8"?>
<table xmlns="http://schemas.openxmlformats.org/spreadsheetml/2006/main" id="3" name="Сентябрь" displayName="Сентябрь" ref="A24:AJ81" headerRowDxfId="389" dataDxfId="388" totalsRowDxfId="387">
  <autoFilter ref="A24:AJ8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name="Услуга" totalsRowLabel="Итог" dataDxfId="386"/>
    <tableColumn id="2" name="Объем" dataDxfId="385" totalsRowDxfId="384"/>
    <tableColumn id="3" name="Периодичность" dataDxfId="383" totalsRowDxfId="382">
      <calculatedColumnFormula>COUNTA(Сентябрь[#Headers])</calculatedColumnFormula>
    </tableColumn>
    <tableColumn id="4" name="№" dataDxfId="381" totalsRowDxfId="380"/>
    <tableColumn id="7" name="1" dataDxfId="379" dataCellStyle="Обычный 2 2 2"/>
    <tableColumn id="8" name="2" dataDxfId="378" dataCellStyle="Обычный 2 2 2"/>
    <tableColumn id="9" name="3" dataDxfId="377" dataCellStyle="Обычный 2 2 2"/>
    <tableColumn id="10" name="4" dataDxfId="376" totalsRowDxfId="375" dataCellStyle="Обычный 2 2 2"/>
    <tableColumn id="11" name="5" dataDxfId="374" totalsRowDxfId="373" dataCellStyle="Обычный 2 2 2"/>
    <tableColumn id="12" name="6" dataDxfId="372" totalsRowDxfId="371" dataCellStyle="Обычный 2 2 2"/>
    <tableColumn id="13" name="7" dataDxfId="370" dataCellStyle="Обычный 2 2 2"/>
    <tableColumn id="14" name="8" dataDxfId="369" dataCellStyle="Обычный 2 2 2"/>
    <tableColumn id="15" name="9" dataDxfId="368" dataCellStyle="Обычный 2 2 2"/>
    <tableColumn id="16" name="10" dataDxfId="367" dataCellStyle="Обычный 2 2 2"/>
    <tableColumn id="17" name="11" dataDxfId="366" totalsRowDxfId="365" dataCellStyle="Обычный 2 2 2"/>
    <tableColumn id="18" name="12" dataDxfId="364" totalsRowDxfId="363" dataCellStyle="Обычный 2 2 2"/>
    <tableColumn id="19" name="13" dataDxfId="362" totalsRowDxfId="361" dataCellStyle="Обычный 2 2 2"/>
    <tableColumn id="20" name="14" dataDxfId="360" dataCellStyle="Обычный 2 2 2"/>
    <tableColumn id="21" name="15" dataDxfId="359" dataCellStyle="Обычный 2 2 2"/>
    <tableColumn id="22" name="16" dataDxfId="358" dataCellStyle="Обычный 2 2 2"/>
    <tableColumn id="23" name="17" dataDxfId="357" dataCellStyle="Обычный 2 2 2"/>
    <tableColumn id="24" name="18" dataDxfId="356" totalsRowDxfId="355" dataCellStyle="Обычный 2 2 2"/>
    <tableColumn id="25" name="19" dataDxfId="354" totalsRowDxfId="353" dataCellStyle="Обычный 2 2 2"/>
    <tableColumn id="26" name="20" dataDxfId="352" totalsRowDxfId="351" dataCellStyle="Обычный 2 2 2"/>
    <tableColumn id="27" name="21" dataDxfId="350" dataCellStyle="Обычный 2 2 2"/>
    <tableColumn id="28" name="22" dataDxfId="349" dataCellStyle="Обычный 2 2 2"/>
    <tableColumn id="29" name="23" dataDxfId="348" dataCellStyle="Обычный 2 2 2"/>
    <tableColumn id="30" name="24" dataDxfId="347" dataCellStyle="Обычный 2 2 2"/>
    <tableColumn id="31" name="25" dataDxfId="346" totalsRowDxfId="345" dataCellStyle="Обычный 2 2 2"/>
    <tableColumn id="32" name="26" dataDxfId="344" totalsRowDxfId="343" dataCellStyle="Обычный 2 2 2"/>
    <tableColumn id="33" name="27" dataDxfId="342" totalsRowDxfId="341" dataCellStyle="Обычный 2 2 2"/>
    <tableColumn id="34" name="28" dataDxfId="340" dataCellStyle="Обычный 2 2 2"/>
    <tableColumn id="35" name="29" dataDxfId="339" dataCellStyle="Обычный 2 2 2"/>
    <tableColumn id="36" name="30" dataDxfId="338" dataCellStyle="Обычный 2 2 2"/>
    <tableColumn id="38" name="УСЛУГ" totalsRowFunction="sum" dataDxfId="337" totalsRowDxfId="336">
      <calculatedColumnFormula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calculatedColumnFormula>
    </tableColumn>
    <tableColumn id="39" name="МИНУТ" totalsRowFunction="sum" dataDxfId="335" totalsRowDxfId="334">
      <calculatedColumnFormula>IF(Сентябрь[[#This Row],[УСЛУГ]]&lt;&gt;"",Сентябрь[[#This Row],[УСЛУГ]]*Сентябрь[[#This Row],[Периодичность]],"")</calculatedColumnFormula>
    </tableColumn>
  </tableColumns>
  <tableStyleInfo name="TableStyleLight15" showFirstColumn="0" showLastColumn="0" showRowStripes="1" showColumnStripes="0"/>
</table>
</file>

<file path=xl/tables/table23.xml><?xml version="1.0" encoding="utf-8"?>
<table xmlns="http://schemas.openxmlformats.org/spreadsheetml/2006/main" id="6" name="СентябрьИтоги" displayName="СентябрьИтоги" ref="A12:AJ17" totalsRowShown="0" headerRowDxfId="333" dataDxfId="332" tableBorderDxfId="331">
  <autoFilter ref="A12:AJ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name="периодичность" dataDxfId="330"/>
    <tableColumn id="2" name="за неделю" dataDxfId="329">
      <calculatedColumnFormula>SUM(H23:L23)</calculatedColumnFormula>
    </tableColumn>
    <tableColumn id="3" name="всего минут" dataDxfId="328">
      <calculatedColumnFormula>СентябрьИтоги[[#This Row],[№]]*60</calculatedColumnFormula>
    </tableColumn>
    <tableColumn id="4" name="№" dataDxfId="327"/>
    <tableColumn id="5" name="1" dataDxfId="326">
      <calculatedColumnFormula>SUM(E10:E19)</calculatedColumnFormula>
    </tableColumn>
    <tableColumn id="6" name="2" dataDxfId="325"/>
    <tableColumn id="7" name="3" dataDxfId="324"/>
    <tableColumn id="8" name="4" dataDxfId="323"/>
    <tableColumn id="9" name="5" dataDxfId="322"/>
    <tableColumn id="10" name="6" dataDxfId="321"/>
    <tableColumn id="11" name="7" dataDxfId="320"/>
    <tableColumn id="12" name="8" dataDxfId="319"/>
    <tableColumn id="13" name="9" dataDxfId="318"/>
    <tableColumn id="14" name="10" dataDxfId="317"/>
    <tableColumn id="15" name="11" dataDxfId="316"/>
    <tableColumn id="16" name="12" dataDxfId="315"/>
    <tableColumn id="17" name="13" dataDxfId="314"/>
    <tableColumn id="18" name="14" dataDxfId="313"/>
    <tableColumn id="19" name="15" dataDxfId="312"/>
    <tableColumn id="20" name="16" dataDxfId="311"/>
    <tableColumn id="21" name="17" dataDxfId="310"/>
    <tableColumn id="22" name="18" dataDxfId="309"/>
    <tableColumn id="23" name="19" dataDxfId="308"/>
    <tableColumn id="24" name="20" dataDxfId="307"/>
    <tableColumn id="25" name="21" dataDxfId="306"/>
    <tableColumn id="26" name="22" dataDxfId="305"/>
    <tableColumn id="27" name="23" dataDxfId="304"/>
    <tableColumn id="28" name="24" dataDxfId="303"/>
    <tableColumn id="29" name="25" dataDxfId="302"/>
    <tableColumn id="30" name="26" dataDxfId="301"/>
    <tableColumn id="31" name="27" dataDxfId="300"/>
    <tableColumn id="32" name="28" dataDxfId="299"/>
    <tableColumn id="33" name="29" dataDxfId="298"/>
    <tableColumn id="34" name="30" dataDxfId="297"/>
    <tableColumn id="35" name="УСЛУГ" dataDxfId="296">
      <calculatedColumnFormula>SUM(Сентябрь[УСЛУГ])</calculatedColumnFormula>
    </tableColumn>
    <tableColumn id="36" name="МИНУТ" dataDxfId="295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24.xml><?xml version="1.0" encoding="utf-8"?>
<table xmlns="http://schemas.openxmlformats.org/spreadsheetml/2006/main" id="24" name="Октябрь" displayName="Октябрь" ref="A24:AK81" headerRowDxfId="292" dataDxfId="291" totalsRowDxfId="290">
  <autoFilter ref="A24:AK8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Услуга" totalsRowLabel="Итог" dataDxfId="289"/>
    <tableColumn id="2" name="Объем" dataDxfId="288" totalsRowDxfId="287"/>
    <tableColumn id="3" name="Периодичность" dataDxfId="286" totalsRowDxfId="285"/>
    <tableColumn id="4" name="№" dataDxfId="284" totalsRowDxfId="283"/>
    <tableColumn id="7" name="1" dataDxfId="282" dataCellStyle="Обычный 2 2 2"/>
    <tableColumn id="8" name="2" dataDxfId="281" dataCellStyle="Обычный 2 2 2"/>
    <tableColumn id="9" name="3" dataDxfId="280" dataCellStyle="Обычный 2 2 2"/>
    <tableColumn id="10" name="4" dataDxfId="279" totalsRowDxfId="278" dataCellStyle="Обычный 2 2 2"/>
    <tableColumn id="11" name="5" dataDxfId="277" totalsRowDxfId="276" dataCellStyle="Обычный 2 2 2"/>
    <tableColumn id="12" name="6" dataDxfId="275" totalsRowDxfId="274" dataCellStyle="Обычный 2 2 2"/>
    <tableColumn id="13" name="7" dataDxfId="273" dataCellStyle="Обычный 2 2 2"/>
    <tableColumn id="14" name="8" dataDxfId="272" dataCellStyle="Обычный 2 2 2"/>
    <tableColumn id="15" name="9" dataDxfId="271" dataCellStyle="Обычный 2 2 2"/>
    <tableColumn id="16" name="10" dataDxfId="270" dataCellStyle="Обычный 2 2 2"/>
    <tableColumn id="17" name="11" dataDxfId="269" totalsRowDxfId="268" dataCellStyle="Обычный 2 2 2"/>
    <tableColumn id="18" name="12" dataDxfId="267" totalsRowDxfId="266" dataCellStyle="Обычный 2 2 2"/>
    <tableColumn id="19" name="13" dataDxfId="265" totalsRowDxfId="264" dataCellStyle="Обычный 2 2 2"/>
    <tableColumn id="20" name="14" dataDxfId="263" dataCellStyle="Обычный 2 2 2"/>
    <tableColumn id="21" name="15" dataDxfId="262" dataCellStyle="Обычный 2 2 2"/>
    <tableColumn id="22" name="16" dataDxfId="261" dataCellStyle="Обычный 2 2 2"/>
    <tableColumn id="23" name="17" dataDxfId="260" dataCellStyle="Обычный 2 2 2"/>
    <tableColumn id="24" name="18" dataDxfId="259" totalsRowDxfId="258" dataCellStyle="Обычный 2 2 2"/>
    <tableColumn id="25" name="19" dataDxfId="257" totalsRowDxfId="256" dataCellStyle="Обычный 2 2 2"/>
    <tableColumn id="26" name="20" dataDxfId="255" totalsRowDxfId="254" dataCellStyle="Обычный 2 2 2"/>
    <tableColumn id="27" name="21" dataDxfId="253" dataCellStyle="Обычный 2 2 2"/>
    <tableColumn id="28" name="22" dataDxfId="252" dataCellStyle="Обычный 2 2 2"/>
    <tableColumn id="29" name="23" dataDxfId="251" dataCellStyle="Обычный 2 2 2"/>
    <tableColumn id="30" name="24" dataDxfId="250" dataCellStyle="Обычный 2 2 2"/>
    <tableColumn id="31" name="25" dataDxfId="249" totalsRowDxfId="248" dataCellStyle="Обычный 2 2 2"/>
    <tableColumn id="32" name="26" dataDxfId="247" totalsRowDxfId="246" dataCellStyle="Обычный 2 2 2"/>
    <tableColumn id="33" name="27" dataDxfId="245" totalsRowDxfId="244" dataCellStyle="Обычный 2 2 2"/>
    <tableColumn id="34" name="28" dataDxfId="243" dataCellStyle="Обычный 2 2 2"/>
    <tableColumn id="35" name="29" dataDxfId="242" dataCellStyle="Обычный 2 2 2"/>
    <tableColumn id="36" name="30" dataDxfId="241" dataCellStyle="Обычный 2 2 2"/>
    <tableColumn id="5" name="31" dataDxfId="240" dataCellStyle="Обычный 2 2 2"/>
    <tableColumn id="38" name="УСЛУГ" totalsRowFunction="sum" dataDxfId="239" totalsRowDxfId="238">
      <calculatedColumnFormula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calculatedColumnFormula>
    </tableColumn>
    <tableColumn id="39" name="МИНУТ" totalsRowFunction="sum" dataDxfId="237" totalsRowDxfId="236">
      <calculatedColumnFormula>IF(Октябрь[[#This Row],[УСЛУГ]]&lt;&gt;"",Октябрь[[#This Row],[УСЛУГ]]*Октябрь[[#This Row],[Периодичность]],"")</calculatedColumnFormula>
    </tableColumn>
  </tableColumns>
  <tableStyleInfo name="TableStyleLight15" showFirstColumn="0" showLastColumn="0" showRowStripes="1" showColumnStripes="0"/>
</table>
</file>

<file path=xl/tables/table25.xml><?xml version="1.0" encoding="utf-8"?>
<table xmlns="http://schemas.openxmlformats.org/spreadsheetml/2006/main" id="25" name="ОктябрьИтоги" displayName="ОктябрьИтоги" ref="A12:AK17" totalsRowShown="0" headerRowDxfId="235" dataDxfId="234" tableBorderDxfId="233">
  <autoFilter ref="A12:AK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периодичность" dataDxfId="232"/>
    <tableColumn id="2" name="за неделю" dataDxfId="231">
      <calculatedColumnFormula>SUMPRODUCT((#REF!=1)*E16:AI16)</calculatedColumnFormula>
    </tableColumn>
    <tableColumn id="3" name="всего минут" dataDxfId="230">
      <calculatedColumnFormula>ОктябрьИтоги[[#This Row],[№]]*60</calculatedColumnFormula>
    </tableColumn>
    <tableColumn id="4" name="№" dataDxfId="229"/>
    <tableColumn id="5" name="1" dataDxfId="228">
      <calculatedColumnFormula>SUM(E10:E15)</calculatedColumnFormula>
    </tableColumn>
    <tableColumn id="6" name="2" dataDxfId="227"/>
    <tableColumn id="7" name="3" dataDxfId="226"/>
    <tableColumn id="8" name="4" dataDxfId="225"/>
    <tableColumn id="9" name="5" dataDxfId="224"/>
    <tableColumn id="10" name="6" dataDxfId="223"/>
    <tableColumn id="11" name="7" dataDxfId="222"/>
    <tableColumn id="12" name="8" dataDxfId="221"/>
    <tableColumn id="13" name="9" dataDxfId="220"/>
    <tableColumn id="14" name="10" dataDxfId="219"/>
    <tableColumn id="15" name="11" dataDxfId="218"/>
    <tableColumn id="16" name="12" dataDxfId="217"/>
    <tableColumn id="17" name="13" dataDxfId="216"/>
    <tableColumn id="18" name="14" dataDxfId="215"/>
    <tableColumn id="19" name="15" dataDxfId="214"/>
    <tableColumn id="20" name="16" dataDxfId="213"/>
    <tableColumn id="21" name="17" dataDxfId="212"/>
    <tableColumn id="22" name="18" dataDxfId="211"/>
    <tableColumn id="23" name="19" dataDxfId="210"/>
    <tableColumn id="24" name="20" dataDxfId="209"/>
    <tableColumn id="25" name="21" dataDxfId="208"/>
    <tableColumn id="26" name="22" dataDxfId="207"/>
    <tableColumn id="27" name="23" dataDxfId="206"/>
    <tableColumn id="28" name="24" dataDxfId="205"/>
    <tableColumn id="29" name="25" dataDxfId="204"/>
    <tableColumn id="30" name="26" dataDxfId="203"/>
    <tableColumn id="31" name="27" dataDxfId="202"/>
    <tableColumn id="32" name="28" dataDxfId="201"/>
    <tableColumn id="33" name="29" dataDxfId="200"/>
    <tableColumn id="34" name="30" dataDxfId="199"/>
    <tableColumn id="37" name="31" dataDxfId="198">
      <calculatedColumnFormula>SUMPRODUCT((Август[№]=1)*Август[31],Август[Периодичность])</calculatedColumnFormula>
    </tableColumn>
    <tableColumn id="35" name="УСЛУГ" dataDxfId="197">
      <calculatedColumnFormula>SUM(Сентябрь[УСЛУГ])</calculatedColumnFormula>
    </tableColumn>
    <tableColumn id="36" name="МИНУТ" dataDxfId="196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26.xml><?xml version="1.0" encoding="utf-8"?>
<table xmlns="http://schemas.openxmlformats.org/spreadsheetml/2006/main" id="26" name="Ноябрь" displayName="Ноябрь" ref="A24:AJ81" headerRowDxfId="193" dataDxfId="192" totalsRowDxfId="191">
  <autoFilter ref="A24:AJ8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name="Услуга" totalsRowLabel="Итог" dataDxfId="190"/>
    <tableColumn id="2" name="Объем" dataDxfId="189" totalsRowDxfId="188"/>
    <tableColumn id="3" name="Периодичность" dataDxfId="187" totalsRowDxfId="186">
      <calculatedColumnFormula>COUNTA(Ноябрь[#Headers])</calculatedColumnFormula>
    </tableColumn>
    <tableColumn id="4" name="№" dataDxfId="185" totalsRowDxfId="184"/>
    <tableColumn id="7" name="1" dataDxfId="183" dataCellStyle="Обычный 2 2 2"/>
    <tableColumn id="8" name="2" dataDxfId="182" dataCellStyle="Обычный 2 2 2"/>
    <tableColumn id="9" name="3" dataDxfId="181" dataCellStyle="Обычный 2 2 2"/>
    <tableColumn id="10" name="4" dataDxfId="180" totalsRowDxfId="179" dataCellStyle="Обычный 2 2 2"/>
    <tableColumn id="11" name="5" dataDxfId="178" totalsRowDxfId="177" dataCellStyle="Обычный 2 2 2"/>
    <tableColumn id="12" name="6" dataDxfId="176" totalsRowDxfId="175" dataCellStyle="Обычный 2 2 2"/>
    <tableColumn id="13" name="7" dataDxfId="174" dataCellStyle="Обычный 2 2 2"/>
    <tableColumn id="14" name="8" dataDxfId="173" dataCellStyle="Обычный 2 2 2"/>
    <tableColumn id="15" name="9" dataDxfId="172" dataCellStyle="Обычный 2 2 2"/>
    <tableColumn id="16" name="10" dataDxfId="171" dataCellStyle="Обычный 2 2 2"/>
    <tableColumn id="17" name="11" dataDxfId="170" totalsRowDxfId="169" dataCellStyle="Обычный 2 2 2"/>
    <tableColumn id="18" name="12" dataDxfId="168" totalsRowDxfId="167" dataCellStyle="Обычный 2 2 2"/>
    <tableColumn id="19" name="13" dataDxfId="166" totalsRowDxfId="165" dataCellStyle="Обычный 2 2 2"/>
    <tableColumn id="20" name="14" dataDxfId="164" dataCellStyle="Обычный 2 2 2"/>
    <tableColumn id="21" name="15" dataDxfId="163" dataCellStyle="Обычный 2 2 2"/>
    <tableColumn id="22" name="16" dataDxfId="162" dataCellStyle="Обычный 2 2 2"/>
    <tableColumn id="23" name="17" dataDxfId="161" dataCellStyle="Обычный 2 2 2"/>
    <tableColumn id="24" name="18" dataDxfId="160" totalsRowDxfId="159" dataCellStyle="Обычный 2 2 2"/>
    <tableColumn id="25" name="19" dataDxfId="158" totalsRowDxfId="157" dataCellStyle="Обычный 2 2 2"/>
    <tableColumn id="26" name="20" dataDxfId="156" totalsRowDxfId="155" dataCellStyle="Обычный 2 2 2"/>
    <tableColumn id="27" name="21" dataDxfId="154" dataCellStyle="Обычный 2 2 2"/>
    <tableColumn id="28" name="22" dataDxfId="153" dataCellStyle="Обычный 2 2 2"/>
    <tableColumn id="29" name="23" dataDxfId="152" dataCellStyle="Обычный 2 2 2"/>
    <tableColumn id="30" name="24" dataDxfId="151" dataCellStyle="Обычный 2 2 2"/>
    <tableColumn id="31" name="25" dataDxfId="150" totalsRowDxfId="149" dataCellStyle="Обычный 2 2 2"/>
    <tableColumn id="32" name="26" dataDxfId="148" totalsRowDxfId="147" dataCellStyle="Обычный 2 2 2"/>
    <tableColumn id="33" name="27" dataDxfId="146" totalsRowDxfId="145" dataCellStyle="Обычный 2 2 2"/>
    <tableColumn id="34" name="28" dataDxfId="144" dataCellStyle="Обычный 2 2 2"/>
    <tableColumn id="35" name="29" dataDxfId="143" dataCellStyle="Обычный 2 2 2"/>
    <tableColumn id="36" name="30" dataDxfId="142" dataCellStyle="Обычный 2 2 2"/>
    <tableColumn id="38" name="УСЛУГ" totalsRowFunction="sum" dataDxfId="141" totalsRowDxfId="140">
      <calculatedColumnFormula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calculatedColumnFormula>
    </tableColumn>
    <tableColumn id="39" name="МИНУТ" totalsRowFunction="sum" dataDxfId="139" totalsRowDxfId="138">
      <calculatedColumnFormula>IF(Ноябрь[[#This Row],[УСЛУГ]]&lt;&gt;"",Ноябрь[[#This Row],[УСЛУГ]]*Ноябрь[[#This Row],[Периодичность]],"")</calculatedColumnFormula>
    </tableColumn>
  </tableColumns>
  <tableStyleInfo name="TableStyleLight15" showFirstColumn="0" showLastColumn="0" showRowStripes="1" showColumnStripes="0"/>
</table>
</file>

<file path=xl/tables/table27.xml><?xml version="1.0" encoding="utf-8"?>
<table xmlns="http://schemas.openxmlformats.org/spreadsheetml/2006/main" id="27" name="НоябрьИтоги" displayName="НоябрьИтоги" ref="A12:AJ17" totalsRowShown="0" headerRowDxfId="137" dataDxfId="136" tableBorderDxfId="135">
  <autoFilter ref="A12:AJ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name="периодичность" dataDxfId="134"/>
    <tableColumn id="2" name="за неделю" dataDxfId="133">
      <calculatedColumnFormula>SUM(H23:L23)</calculatedColumnFormula>
    </tableColumn>
    <tableColumn id="3" name="всего минут" dataDxfId="132">
      <calculatedColumnFormula>НоябрьИтоги[[#This Row],[№]]*60</calculatedColumnFormula>
    </tableColumn>
    <tableColumn id="4" name="№" dataDxfId="131"/>
    <tableColumn id="5" name="1" dataDxfId="130">
      <calculatedColumnFormula>SUM(E10:E19)</calculatedColumnFormula>
    </tableColumn>
    <tableColumn id="6" name="2" dataDxfId="129"/>
    <tableColumn id="7" name="3" dataDxfId="128"/>
    <tableColumn id="8" name="4" dataDxfId="127"/>
    <tableColumn id="9" name="5" dataDxfId="126"/>
    <tableColumn id="10" name="6" dataDxfId="125"/>
    <tableColumn id="11" name="7" dataDxfId="124"/>
    <tableColumn id="12" name="8" dataDxfId="123"/>
    <tableColumn id="13" name="9" dataDxfId="122"/>
    <tableColumn id="14" name="10" dataDxfId="121"/>
    <tableColumn id="15" name="11" dataDxfId="120"/>
    <tableColumn id="16" name="12" dataDxfId="119"/>
    <tableColumn id="17" name="13" dataDxfId="118"/>
    <tableColumn id="18" name="14" dataDxfId="117"/>
    <tableColumn id="19" name="15" dataDxfId="116"/>
    <tableColumn id="20" name="16" dataDxfId="115"/>
    <tableColumn id="21" name="17" dataDxfId="114"/>
    <tableColumn id="22" name="18" dataDxfId="113"/>
    <tableColumn id="23" name="19" dataDxfId="112"/>
    <tableColumn id="24" name="20" dataDxfId="111"/>
    <tableColumn id="25" name="21" dataDxfId="110"/>
    <tableColumn id="26" name="22" dataDxfId="109"/>
    <tableColumn id="27" name="23" dataDxfId="108"/>
    <tableColumn id="28" name="24" dataDxfId="107"/>
    <tableColumn id="29" name="25" dataDxfId="106"/>
    <tableColumn id="30" name="26" dataDxfId="105"/>
    <tableColumn id="31" name="27" dataDxfId="104"/>
    <tableColumn id="32" name="28" dataDxfId="103"/>
    <tableColumn id="33" name="29" dataDxfId="102"/>
    <tableColumn id="34" name="30" dataDxfId="101"/>
    <tableColumn id="35" name="УСЛУГ" dataDxfId="100">
      <calculatedColumnFormula>SUM(Сентябрь[УСЛУГ])</calculatedColumnFormula>
    </tableColumn>
    <tableColumn id="36" name="МИНУТ" dataDxfId="99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28.xml><?xml version="1.0" encoding="utf-8"?>
<table xmlns="http://schemas.openxmlformats.org/spreadsheetml/2006/main" id="28" name="Декабрь" displayName="Декабрь" ref="A24:AK81" headerRowDxfId="96" dataDxfId="95" totalsRowDxfId="94">
  <autoFilter ref="A24:AK8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Услуга" totalsRowLabel="Итог" dataDxfId="93"/>
    <tableColumn id="2" name="Объем" dataDxfId="92" totalsRowDxfId="91"/>
    <tableColumn id="3" name="Периодичность" dataDxfId="90" totalsRowDxfId="89"/>
    <tableColumn id="4" name="№" dataDxfId="88" totalsRowDxfId="87"/>
    <tableColumn id="7" name="1" dataDxfId="86" dataCellStyle="Обычный 2 2 2"/>
    <tableColumn id="8" name="2" dataDxfId="85" dataCellStyle="Обычный 2 2 2"/>
    <tableColumn id="9" name="3" dataDxfId="84" dataCellStyle="Обычный 2 2 2"/>
    <tableColumn id="10" name="4" dataDxfId="83" totalsRowDxfId="82" dataCellStyle="Обычный 2 2 2"/>
    <tableColumn id="11" name="5" dataDxfId="81" totalsRowDxfId="80" dataCellStyle="Обычный 2 2 2"/>
    <tableColumn id="12" name="6" dataDxfId="79" totalsRowDxfId="78" dataCellStyle="Обычный 2 2 2"/>
    <tableColumn id="13" name="7" dataDxfId="77" dataCellStyle="Обычный 2 2 2"/>
    <tableColumn id="14" name="8" dataDxfId="76" dataCellStyle="Обычный 2 2 2"/>
    <tableColumn id="15" name="9" dataDxfId="75" dataCellStyle="Обычный 2 2 2"/>
    <tableColumn id="16" name="10" dataDxfId="74" dataCellStyle="Обычный 2 2 2"/>
    <tableColumn id="17" name="11" dataDxfId="73" totalsRowDxfId="72" dataCellStyle="Обычный 2 2 2"/>
    <tableColumn id="18" name="12" dataDxfId="71" totalsRowDxfId="70" dataCellStyle="Обычный 2 2 2"/>
    <tableColumn id="19" name="13" dataDxfId="69" totalsRowDxfId="68" dataCellStyle="Обычный 2 2 2"/>
    <tableColumn id="20" name="14" dataDxfId="67" dataCellStyle="Обычный 2 2 2"/>
    <tableColumn id="21" name="15" dataDxfId="66" dataCellStyle="Обычный 2 2 2"/>
    <tableColumn id="22" name="16" dataDxfId="65" dataCellStyle="Обычный 2 2 2"/>
    <tableColumn id="23" name="17" dataDxfId="64" dataCellStyle="Обычный 2 2 2"/>
    <tableColumn id="24" name="18" dataDxfId="63" totalsRowDxfId="62" dataCellStyle="Обычный 2 2 2"/>
    <tableColumn id="25" name="19" dataDxfId="61" totalsRowDxfId="60" dataCellStyle="Обычный 2 2 2"/>
    <tableColumn id="26" name="20" dataDxfId="59" totalsRowDxfId="58" dataCellStyle="Обычный 2 2 2"/>
    <tableColumn id="27" name="21" dataDxfId="57" dataCellStyle="Обычный 2 2 2"/>
    <tableColumn id="28" name="22" dataDxfId="56" dataCellStyle="Обычный 2 2 2"/>
    <tableColumn id="29" name="23" dataDxfId="55" dataCellStyle="Обычный 2 2 2"/>
    <tableColumn id="30" name="24" dataDxfId="54" dataCellStyle="Обычный 2 2 2"/>
    <tableColumn id="31" name="25" dataDxfId="53" totalsRowDxfId="52" dataCellStyle="Обычный 2 2 2"/>
    <tableColumn id="32" name="26" dataDxfId="51" totalsRowDxfId="50" dataCellStyle="Обычный 2 2 2"/>
    <tableColumn id="33" name="27" dataDxfId="49" totalsRowDxfId="48" dataCellStyle="Обычный 2 2 2"/>
    <tableColumn id="34" name="28" dataDxfId="47" dataCellStyle="Обычный 2 2 2"/>
    <tableColumn id="35" name="29" dataDxfId="46" dataCellStyle="Обычный 2 2 2"/>
    <tableColumn id="36" name="30" dataDxfId="45" dataCellStyle="Обычный 2 2 2"/>
    <tableColumn id="5" name="31" dataDxfId="44" dataCellStyle="Обычный 2 2 2"/>
    <tableColumn id="38" name="УСЛУГ" totalsRowFunction="sum" dataDxfId="43" totalsRowDxfId="42">
      <calculatedColumnFormula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calculatedColumnFormula>
    </tableColumn>
    <tableColumn id="39" name="МИНУТ" totalsRowFunction="sum" dataDxfId="41" totalsRowDxfId="40">
      <calculatedColumnFormula>IF(Декабрь[[#This Row],[УСЛУГ]]&lt;&gt;"",Декабрь[[#This Row],[УСЛУГ]]*Декабрь[[#This Row],[Периодичность]],"")</calculatedColumnFormula>
    </tableColumn>
  </tableColumns>
  <tableStyleInfo name="TableStyleLight15" showFirstColumn="0" showLastColumn="0" showRowStripes="1" showColumnStripes="0"/>
</table>
</file>

<file path=xl/tables/table29.xml><?xml version="1.0" encoding="utf-8"?>
<table xmlns="http://schemas.openxmlformats.org/spreadsheetml/2006/main" id="29" name="ДекабрьИтоги" displayName="ДекабрьИтоги" ref="A12:AK17" totalsRowShown="0" headerRowDxfId="39" dataDxfId="38" tableBorderDxfId="37">
  <autoFilter ref="A12:AK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периодичность" dataDxfId="36"/>
    <tableColumn id="2" name="за неделю" dataDxfId="35">
      <calculatedColumnFormula>SUMPRODUCT((#REF!=1)*E16:AI16)</calculatedColumnFormula>
    </tableColumn>
    <tableColumn id="3" name="всего минут" dataDxfId="34">
      <calculatedColumnFormula>ДекабрьИтоги[[#This Row],[№]]*60</calculatedColumnFormula>
    </tableColumn>
    <tableColumn id="4" name="№" dataDxfId="33"/>
    <tableColumn id="5" name="1" dataDxfId="32">
      <calculatedColumnFormula>SUM(E10:E15)</calculatedColumnFormula>
    </tableColumn>
    <tableColumn id="6" name="2" dataDxfId="31"/>
    <tableColumn id="7" name="3" dataDxfId="30"/>
    <tableColumn id="8" name="4" dataDxfId="29"/>
    <tableColumn id="9" name="5" dataDxfId="28"/>
    <tableColumn id="10" name="6" dataDxfId="27"/>
    <tableColumn id="11" name="7" dataDxfId="26"/>
    <tableColumn id="12" name="8" dataDxfId="25"/>
    <tableColumn id="13" name="9" dataDxfId="24"/>
    <tableColumn id="14" name="10" dataDxfId="23"/>
    <tableColumn id="15" name="11" dataDxfId="22"/>
    <tableColumn id="16" name="12" dataDxfId="21"/>
    <tableColumn id="17" name="13" dataDxfId="20"/>
    <tableColumn id="18" name="14" dataDxfId="19"/>
    <tableColumn id="19" name="15" dataDxfId="18"/>
    <tableColumn id="20" name="16" dataDxfId="17"/>
    <tableColumn id="21" name="17" dataDxfId="16"/>
    <tableColumn id="22" name="18" dataDxfId="15"/>
    <tableColumn id="23" name="19" dataDxfId="14"/>
    <tableColumn id="24" name="20" dataDxfId="13"/>
    <tableColumn id="25" name="21" dataDxfId="12"/>
    <tableColumn id="26" name="22" dataDxfId="11"/>
    <tableColumn id="27" name="23" dataDxfId="10"/>
    <tableColumn id="28" name="24" dataDxfId="9"/>
    <tableColumn id="29" name="25" dataDxfId="8"/>
    <tableColumn id="30" name="26" dataDxfId="7"/>
    <tableColumn id="31" name="27" dataDxfId="6"/>
    <tableColumn id="32" name="28" dataDxfId="5"/>
    <tableColumn id="33" name="29" dataDxfId="4"/>
    <tableColumn id="34" name="30" dataDxfId="3"/>
    <tableColumn id="37" name="31" dataDxfId="2">
      <calculatedColumnFormula>SUMPRODUCT((Август[№]=1)*Август[31],Август[Периодичность])</calculatedColumnFormula>
    </tableColumn>
    <tableColumn id="35" name="УСЛУГ" dataDxfId="1">
      <calculatedColumnFormula>SUM(Сентябрь[УСЛУГ])</calculatedColumnFormula>
    </tableColumn>
    <tableColumn id="36" name="МИНУТ" dataDxfId="0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21" name="Год" displayName="Год" ref="F1:F2" totalsRowShown="0" headerRowDxfId="1246" dataDxfId="1245">
  <autoFilter ref="F1:F2">
    <filterColumn colId="0" hiddenButton="1"/>
  </autoFilter>
  <tableColumns count="1">
    <tableColumn id="1" name="Год" dataDxfId="1244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22" name="КалендарьПолн" displayName="КалендарьПолн" ref="D6:AI18" totalsRowShown="0" headerRowDxfId="1243" dataDxfId="1242">
  <autoFilter ref="D6:AI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</autoFilter>
  <tableColumns count="32">
    <tableColumn id="1" name="Месяц" dataDxfId="1241"/>
    <tableColumn id="2" name="1" dataDxfId="1240">
      <calculatedColumnFormula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calculatedColumnFormula>
    </tableColumn>
    <tableColumn id="3" name="2" dataDxfId="1239">
      <calculatedColumnFormula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calculatedColumnFormula>
    </tableColumn>
    <tableColumn id="4" name="3" dataDxfId="1238">
      <calculatedColumnFormula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calculatedColumnFormula>
    </tableColumn>
    <tableColumn id="5" name="4" dataDxfId="1237">
      <calculatedColumnFormula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calculatedColumnFormula>
    </tableColumn>
    <tableColumn id="6" name="5" dataDxfId="1236">
      <calculatedColumnFormula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calculatedColumnFormula>
    </tableColumn>
    <tableColumn id="7" name="6" dataDxfId="1235">
      <calculatedColumnFormula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calculatedColumnFormula>
    </tableColumn>
    <tableColumn id="8" name="7" dataDxfId="1234">
      <calculatedColumnFormula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calculatedColumnFormula>
    </tableColumn>
    <tableColumn id="9" name="8" dataDxfId="1233">
      <calculatedColumnFormula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calculatedColumnFormula>
    </tableColumn>
    <tableColumn id="10" name="9" dataDxfId="1232">
      <calculatedColumnFormula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calculatedColumnFormula>
    </tableColumn>
    <tableColumn id="11" name="10" dataDxfId="1231">
      <calculatedColumnFormula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calculatedColumnFormula>
    </tableColumn>
    <tableColumn id="12" name="11" dataDxfId="1230">
      <calculatedColumnFormula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calculatedColumnFormula>
    </tableColumn>
    <tableColumn id="13" name="12" dataDxfId="1229">
      <calculatedColumnFormula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calculatedColumnFormula>
    </tableColumn>
    <tableColumn id="14" name="13" dataDxfId="1228">
      <calculatedColumnFormula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calculatedColumnFormula>
    </tableColumn>
    <tableColumn id="15" name="14" dataDxfId="1227">
      <calculatedColumnFormula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calculatedColumnFormula>
    </tableColumn>
    <tableColumn id="16" name="15" dataDxfId="1226">
      <calculatedColumnFormula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calculatedColumnFormula>
    </tableColumn>
    <tableColumn id="17" name="16" dataDxfId="1225">
      <calculatedColumnFormula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calculatedColumnFormula>
    </tableColumn>
    <tableColumn id="18" name="17" dataDxfId="1224">
      <calculatedColumnFormula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calculatedColumnFormula>
    </tableColumn>
    <tableColumn id="19" name="18" dataDxfId="1223">
      <calculatedColumnFormula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calculatedColumnFormula>
    </tableColumn>
    <tableColumn id="20" name="19" dataDxfId="1222">
      <calculatedColumnFormula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calculatedColumnFormula>
    </tableColumn>
    <tableColumn id="21" name="20" dataDxfId="1221">
      <calculatedColumnFormula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calculatedColumnFormula>
    </tableColumn>
    <tableColumn id="22" name="21" dataDxfId="1220">
      <calculatedColumnFormula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calculatedColumnFormula>
    </tableColumn>
    <tableColumn id="23" name="22" dataDxfId="1219">
      <calculatedColumnFormula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calculatedColumnFormula>
    </tableColumn>
    <tableColumn id="24" name="23" dataDxfId="1218">
      <calculatedColumnFormula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calculatedColumnFormula>
    </tableColumn>
    <tableColumn id="25" name="24" dataDxfId="1217">
      <calculatedColumnFormula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calculatedColumnFormula>
    </tableColumn>
    <tableColumn id="26" name="25" dataDxfId="1216">
      <calculatedColumnFormula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calculatedColumnFormula>
    </tableColumn>
    <tableColumn id="27" name="26" dataDxfId="1215">
      <calculatedColumnFormula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calculatedColumnFormula>
    </tableColumn>
    <tableColumn id="28" name="27" dataDxfId="1214">
      <calculatedColumnFormula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calculatedColumnFormula>
    </tableColumn>
    <tableColumn id="29" name="28" dataDxfId="1213">
      <calculatedColumnFormula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calculatedColumnFormula>
    </tableColumn>
    <tableColumn id="30" name="29" dataDxfId="1212">
      <calculatedColumnFormula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calculatedColumnFormula>
    </tableColumn>
    <tableColumn id="31" name="30" dataDxfId="1211">
      <calculatedColumnFormula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calculatedColumnFormula>
    </tableColumn>
    <tableColumn id="32" name="31" dataDxfId="1210">
      <calculatedColumnFormula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23" name="КалендарьНН" displayName="КалендарьНН" ref="D20:AI32" totalsRowShown="0" headerRowDxfId="1209" dataDxfId="1208">
  <autoFilter ref="D20:AI3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</autoFilter>
  <tableColumns count="32">
    <tableColumn id="1" name="Месяц" dataDxfId="1207"/>
    <tableColumn id="2" name="1" dataDxfId="1206">
      <calculatedColumnFormula>IF(E7="",0,ROUNDUP(DAY(E7)/7,0)+(WEEKDAY(E7-DAY(E7)+1,11)&gt;WEEKDAY(E7,11)))</calculatedColumnFormula>
    </tableColumn>
    <tableColumn id="3" name="2" dataDxfId="1205">
      <calculatedColumnFormula>IF(F7="",0,ROUNDUP(DAY(F7)/7,0)+(WEEKDAY(F7-DAY(F7)+1,11)&gt;WEEKDAY(F7,11)))</calculatedColumnFormula>
    </tableColumn>
    <tableColumn id="4" name="3" dataDxfId="1204">
      <calculatedColumnFormula>IF(G7="",0,ROUNDUP(DAY(G7)/7,0)+(WEEKDAY(G7-DAY(G7)+1,11)&gt;WEEKDAY(G7,11)))</calculatedColumnFormula>
    </tableColumn>
    <tableColumn id="5" name="4" dataDxfId="1203">
      <calculatedColumnFormula>IF(H7="",0,ROUNDUP(DAY(H7)/7,0)+(WEEKDAY(H7-DAY(H7)+1,11)&gt;WEEKDAY(H7,11)))</calculatedColumnFormula>
    </tableColumn>
    <tableColumn id="6" name="5" dataDxfId="1202">
      <calculatedColumnFormula>IF(I7="",0,ROUNDUP(DAY(I7)/7,0)+(WEEKDAY(I7-DAY(I7)+1,11)&gt;WEEKDAY(I7,11)))</calculatedColumnFormula>
    </tableColumn>
    <tableColumn id="7" name="6" dataDxfId="1201">
      <calculatedColumnFormula>IF(J7="",0,ROUNDUP(DAY(J7)/7,0)+(WEEKDAY(J7-DAY(J7)+1,11)&gt;WEEKDAY(J7,11)))</calculatedColumnFormula>
    </tableColumn>
    <tableColumn id="8" name="7" dataDxfId="1200">
      <calculatedColumnFormula>IF(K7="",0,ROUNDUP(DAY(K7)/7,0)+(WEEKDAY(K7-DAY(K7)+1,11)&gt;WEEKDAY(K7,11)))</calculatedColumnFormula>
    </tableColumn>
    <tableColumn id="9" name="8" dataDxfId="1199">
      <calculatedColumnFormula>IF(L7="",0,ROUNDUP(DAY(L7)/7,0)+(WEEKDAY(L7-DAY(L7)+1,11)&gt;WEEKDAY(L7,11)))</calculatedColumnFormula>
    </tableColumn>
    <tableColumn id="10" name="9" dataDxfId="1198">
      <calculatedColumnFormula>IF(M7="",0,ROUNDUP(DAY(M7)/7,0)+(WEEKDAY(M7-DAY(M7)+1,11)&gt;WEEKDAY(M7,11)))</calculatedColumnFormula>
    </tableColumn>
    <tableColumn id="11" name="10" dataDxfId="1197">
      <calculatedColumnFormula>IF(N7="",0,ROUNDUP(DAY(N7)/7,0)+(WEEKDAY(N7-DAY(N7)+1,11)&gt;WEEKDAY(N7,11)))</calculatedColumnFormula>
    </tableColumn>
    <tableColumn id="12" name="11" dataDxfId="1196">
      <calculatedColumnFormula>IF(O7="",0,ROUNDUP(DAY(O7)/7,0)+(WEEKDAY(O7-DAY(O7)+1,11)&gt;WEEKDAY(O7,11)))</calculatedColumnFormula>
    </tableColumn>
    <tableColumn id="13" name="12" dataDxfId="1195">
      <calculatedColumnFormula>IF(P7="",0,ROUNDUP(DAY(P7)/7,0)+(WEEKDAY(P7-DAY(P7)+1,11)&gt;WEEKDAY(P7,11)))</calculatedColumnFormula>
    </tableColumn>
    <tableColumn id="14" name="13" dataDxfId="1194">
      <calculatedColumnFormula>IF(Q7="",0,ROUNDUP(DAY(Q7)/7,0)+(WEEKDAY(Q7-DAY(Q7)+1,11)&gt;WEEKDAY(Q7,11)))</calculatedColumnFormula>
    </tableColumn>
    <tableColumn id="15" name="14" dataDxfId="1193">
      <calculatedColumnFormula>IF(R7="",0,ROUNDUP(DAY(R7)/7,0)+(WEEKDAY(R7-DAY(R7)+1,11)&gt;WEEKDAY(R7,11)))</calculatedColumnFormula>
    </tableColumn>
    <tableColumn id="16" name="15" dataDxfId="1192">
      <calculatedColumnFormula>IF(S7="",0,ROUNDUP(DAY(S7)/7,0)+(WEEKDAY(S7-DAY(S7)+1,11)&gt;WEEKDAY(S7,11)))</calculatedColumnFormula>
    </tableColumn>
    <tableColumn id="17" name="16" dataDxfId="1191">
      <calculatedColumnFormula>IF(T7="",0,ROUNDUP(DAY(T7)/7,0)+(WEEKDAY(T7-DAY(T7)+1,11)&gt;WEEKDAY(T7,11)))</calculatedColumnFormula>
    </tableColumn>
    <tableColumn id="18" name="17" dataDxfId="1190">
      <calculatedColumnFormula>IF(U7="",0,ROUNDUP(DAY(U7)/7,0)+(WEEKDAY(U7-DAY(U7)+1,11)&gt;WEEKDAY(U7,11)))</calculatedColumnFormula>
    </tableColumn>
    <tableColumn id="19" name="18" dataDxfId="1189">
      <calculatedColumnFormula>IF(V7="",0,ROUNDUP(DAY(V7)/7,0)+(WEEKDAY(V7-DAY(V7)+1,11)&gt;WEEKDAY(V7,11)))</calculatedColumnFormula>
    </tableColumn>
    <tableColumn id="20" name="19" dataDxfId="1188">
      <calculatedColumnFormula>IF(W7="",0,ROUNDUP(DAY(W7)/7,0)+(WEEKDAY(W7-DAY(W7)+1,11)&gt;WEEKDAY(W7,11)))</calculatedColumnFormula>
    </tableColumn>
    <tableColumn id="21" name="20" dataDxfId="1187">
      <calculatedColumnFormula>IF(X7="",0,ROUNDUP(DAY(X7)/7,0)+(WEEKDAY(X7-DAY(X7)+1,11)&gt;WEEKDAY(X7,11)))</calculatedColumnFormula>
    </tableColumn>
    <tableColumn id="22" name="21" dataDxfId="1186">
      <calculatedColumnFormula>IF(Y7="",0,ROUNDUP(DAY(Y7)/7,0)+(WEEKDAY(Y7-DAY(Y7)+1,11)&gt;WEEKDAY(Y7,11)))</calculatedColumnFormula>
    </tableColumn>
    <tableColumn id="23" name="22" dataDxfId="1185">
      <calculatedColumnFormula>IF(Z7="",0,ROUNDUP(DAY(Z7)/7,0)+(WEEKDAY(Z7-DAY(Z7)+1,11)&gt;WEEKDAY(Z7,11)))</calculatedColumnFormula>
    </tableColumn>
    <tableColumn id="24" name="23" dataDxfId="1184">
      <calculatedColumnFormula>IF(AA7="",0,ROUNDUP(DAY(AA7)/7,0)+(WEEKDAY(AA7-DAY(AA7)+1,11)&gt;WEEKDAY(AA7,11)))</calculatedColumnFormula>
    </tableColumn>
    <tableColumn id="25" name="24" dataDxfId="1183">
      <calculatedColumnFormula>IF(AB7="",0,ROUNDUP(DAY(AB7)/7,0)+(WEEKDAY(AB7-DAY(AB7)+1,11)&gt;WEEKDAY(AB7,11)))</calculatedColumnFormula>
    </tableColumn>
    <tableColumn id="26" name="25" dataDxfId="1182">
      <calculatedColumnFormula>IF(AC7="",0,ROUNDUP(DAY(AC7)/7,0)+(WEEKDAY(AC7-DAY(AC7)+1,11)&gt;WEEKDAY(AC7,11)))</calculatedColumnFormula>
    </tableColumn>
    <tableColumn id="27" name="26" dataDxfId="1181">
      <calculatedColumnFormula>IF(AD7="",0,ROUNDUP(DAY(AD7)/7,0)+(WEEKDAY(AD7-DAY(AD7)+1,11)&gt;WEEKDAY(AD7,11)))</calculatedColumnFormula>
    </tableColumn>
    <tableColumn id="28" name="27" dataDxfId="1180">
      <calculatedColumnFormula>IF(AE7="",0,ROUNDUP(DAY(AE7)/7,0)+(WEEKDAY(AE7-DAY(AE7)+1,11)&gt;WEEKDAY(AE7,11)))</calculatedColumnFormula>
    </tableColumn>
    <tableColumn id="29" name="28" dataDxfId="1179">
      <calculatedColumnFormula>IF(AF7="",0,ROUNDUP(DAY(AF7)/7,0)+(WEEKDAY(AF7-DAY(AF7)+1,11)&gt;WEEKDAY(AF7,11)))</calculatedColumnFormula>
    </tableColumn>
    <tableColumn id="30" name="29" dataDxfId="1178">
      <calculatedColumnFormula>IF(AG7="",0,ROUNDUP(DAY(AG7)/7,0)+(WEEKDAY(AG7-DAY(AG7)+1,11)&gt;WEEKDAY(AG7,11)))</calculatedColumnFormula>
    </tableColumn>
    <tableColumn id="31" name="30" dataDxfId="1177">
      <calculatedColumnFormula>IF(AH7="",0,ROUNDUP(DAY(AH7)/7,0)+(WEEKDAY(AH7-DAY(AH7)+1,11)&gt;WEEKDAY(AH7,11)))</calculatedColumnFormula>
    </tableColumn>
    <tableColumn id="32" name="31" dataDxfId="1176">
      <calculatedColumnFormula>IF(AI7="",0,ROUNDUP(DAY(AI7)/7,0)+(WEEKDAY(AI7-DAY(AI7)+1,11)&gt;WEEKDAY(AI7,11)))</calculatedColumnFormula>
    </tableColumn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19" name="Январь" displayName="Январь" ref="A24:AK81" headerRowDxfId="1173" dataDxfId="1172" totalsRowDxfId="1171">
  <autoFilter ref="A24:AK8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Услуга" totalsRowLabel="Итог" dataDxfId="1170"/>
    <tableColumn id="2" name="Объем" dataDxfId="1169" totalsRowDxfId="1168"/>
    <tableColumn id="3" name="Периодичность" dataDxfId="1167" totalsRowDxfId="1166"/>
    <tableColumn id="4" name="№" dataDxfId="1165" totalsRowDxfId="1164"/>
    <tableColumn id="7" name="1" dataDxfId="1163" dataCellStyle="Обычный 2 2 2"/>
    <tableColumn id="8" name="2" dataDxfId="1162" dataCellStyle="Обычный 2 2 2"/>
    <tableColumn id="9" name="3" dataDxfId="1161" dataCellStyle="Обычный 2 2 2"/>
    <tableColumn id="10" name="4" dataDxfId="1160" totalsRowDxfId="1159" dataCellStyle="Обычный 2 2 2"/>
    <tableColumn id="11" name="5" dataDxfId="1158" totalsRowDxfId="1157" dataCellStyle="Обычный 2 2 2"/>
    <tableColumn id="12" name="6" dataDxfId="1156" totalsRowDxfId="1155" dataCellStyle="Обычный 2 2 2"/>
    <tableColumn id="13" name="7" dataDxfId="1154" dataCellStyle="Обычный 2 2 2"/>
    <tableColumn id="14" name="8" dataDxfId="1153" dataCellStyle="Обычный 2 2 2"/>
    <tableColumn id="15" name="9" dataDxfId="1152" dataCellStyle="Обычный 2 2 2"/>
    <tableColumn id="16" name="10" dataDxfId="1151" dataCellStyle="Обычный 2 2 2"/>
    <tableColumn id="17" name="11" dataDxfId="1150" totalsRowDxfId="1149" dataCellStyle="Обычный 2 2 2"/>
    <tableColumn id="18" name="12" dataDxfId="1148" totalsRowDxfId="1147" dataCellStyle="Обычный 2 2 2"/>
    <tableColumn id="19" name="13" dataDxfId="1146" totalsRowDxfId="1145" dataCellStyle="Обычный 2 2 2"/>
    <tableColumn id="20" name="14" dataDxfId="1144" dataCellStyle="Обычный 2 2 2"/>
    <tableColumn id="21" name="15" dataDxfId="1143" dataCellStyle="Обычный 2 2 2"/>
    <tableColumn id="22" name="16" dataDxfId="1142" dataCellStyle="Обычный 2 2 2"/>
    <tableColumn id="23" name="17" dataDxfId="1141" dataCellStyle="Обычный 2 2 2"/>
    <tableColumn id="24" name="18" dataDxfId="1140" totalsRowDxfId="1139" dataCellStyle="Обычный 2 2 2"/>
    <tableColumn id="25" name="19" dataDxfId="1138" totalsRowDxfId="1137" dataCellStyle="Обычный 2 2 2"/>
    <tableColumn id="26" name="20" dataDxfId="1136" totalsRowDxfId="1135" dataCellStyle="Обычный 2 2 2"/>
    <tableColumn id="27" name="21" dataDxfId="1134" dataCellStyle="Обычный 2 2 2"/>
    <tableColumn id="28" name="22" dataDxfId="1133" dataCellStyle="Обычный 2 2 2"/>
    <tableColumn id="29" name="23" dataDxfId="1132" dataCellStyle="Обычный 2 2 2"/>
    <tableColumn id="30" name="24" dataDxfId="1131" dataCellStyle="Обычный 2 2 2"/>
    <tableColumn id="31" name="25" dataDxfId="1130" totalsRowDxfId="1129" dataCellStyle="Обычный 2 2 2"/>
    <tableColumn id="32" name="26" dataDxfId="1128" totalsRowDxfId="1127" dataCellStyle="Обычный 2 2 2"/>
    <tableColumn id="33" name="27" dataDxfId="1126" totalsRowDxfId="1125" dataCellStyle="Обычный 2 2 2"/>
    <tableColumn id="34" name="28" dataDxfId="1124" dataCellStyle="Обычный 2 2 2"/>
    <tableColumn id="35" name="29" dataDxfId="1123" dataCellStyle="Обычный 2 2 2"/>
    <tableColumn id="36" name="30" dataDxfId="1122" dataCellStyle="Обычный 2 2 2"/>
    <tableColumn id="5" name="31" dataDxfId="1121" dataCellStyle="Обычный 2 2 2"/>
    <tableColumn id="38" name="УСЛУГ" totalsRowFunction="sum" dataDxfId="1120" totalsRowDxfId="1119">
      <calculatedColumnFormula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calculatedColumnFormula>
    </tableColumn>
    <tableColumn id="39" name="МИНУТ" totalsRowFunction="sum" dataDxfId="1118" totalsRowDxfId="1117">
      <calculatedColumnFormula>IF(Январь[[#This Row],[УСЛУГ]]&lt;&gt;"",Январь[[#This Row],[УСЛУГ]]*Январь[[#This Row],[Периодичность]],"")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id="20" name="ЯнварьИтоги" displayName="ЯнварьИтоги" ref="A12:AK17" totalsRowShown="0" headerRowDxfId="1116" dataDxfId="1115" tableBorderDxfId="1114">
  <autoFilter ref="A12:AK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периодичность" dataDxfId="1113"/>
    <tableColumn id="2" name="за неделю" dataDxfId="1112">
      <calculatedColumnFormula>SUMPRODUCT((#REF!=1)*E16:AI16)</calculatedColumnFormula>
    </tableColumn>
    <tableColumn id="3" name="всего минут" dataDxfId="1111">
      <calculatedColumnFormula>ЯнварьИтоги[[#This Row],[№]]*60</calculatedColumnFormula>
    </tableColumn>
    <tableColumn id="4" name="№" dataDxfId="1110"/>
    <tableColumn id="5" name="1" dataDxfId="1109">
      <calculatedColumnFormula>SUM(E10:E15)</calculatedColumnFormula>
    </tableColumn>
    <tableColumn id="6" name="2" dataDxfId="1108"/>
    <tableColumn id="7" name="3" dataDxfId="1107"/>
    <tableColumn id="8" name="4" dataDxfId="1106"/>
    <tableColumn id="9" name="5" dataDxfId="1105"/>
    <tableColumn id="10" name="6" dataDxfId="1104"/>
    <tableColumn id="11" name="7" dataDxfId="1103"/>
    <tableColumn id="12" name="8" dataDxfId="1102"/>
    <tableColumn id="13" name="9" dataDxfId="1101"/>
    <tableColumn id="14" name="10" dataDxfId="1100"/>
    <tableColumn id="15" name="11" dataDxfId="1099"/>
    <tableColumn id="16" name="12" dataDxfId="1098"/>
    <tableColumn id="17" name="13" dataDxfId="1097"/>
    <tableColumn id="18" name="14" dataDxfId="1096"/>
    <tableColumn id="19" name="15" dataDxfId="1095"/>
    <tableColumn id="20" name="16" dataDxfId="1094"/>
    <tableColumn id="21" name="17" dataDxfId="1093"/>
    <tableColumn id="22" name="18" dataDxfId="1092"/>
    <tableColumn id="23" name="19" dataDxfId="1091"/>
    <tableColumn id="24" name="20" dataDxfId="1090"/>
    <tableColumn id="25" name="21" dataDxfId="1089"/>
    <tableColumn id="26" name="22" dataDxfId="1088"/>
    <tableColumn id="27" name="23" dataDxfId="1087"/>
    <tableColumn id="28" name="24" dataDxfId="1086"/>
    <tableColumn id="29" name="25" dataDxfId="1085"/>
    <tableColumn id="30" name="26" dataDxfId="1084"/>
    <tableColumn id="31" name="27" dataDxfId="1083"/>
    <tableColumn id="32" name="28" dataDxfId="1082"/>
    <tableColumn id="33" name="29" dataDxfId="1081"/>
    <tableColumn id="34" name="30" dataDxfId="1080"/>
    <tableColumn id="37" name="31" dataDxfId="1079">
      <calculatedColumnFormula>SUMPRODUCT((Август[№]=1)*Август[31],Август[Периодичность])</calculatedColumnFormula>
    </tableColumn>
    <tableColumn id="35" name="УСЛУГ" dataDxfId="1078">
      <calculatedColumnFormula>SUM(Сентябрь[УСЛУГ])</calculatedColumnFormula>
    </tableColumn>
    <tableColumn id="36" name="МИНУТ" dataDxfId="1077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id="17" name="Февраль" displayName="Февраль" ref="A24:AI81" headerRowDxfId="1074" dataDxfId="1073" totalsRowDxfId="1072">
  <autoFilter ref="A24:AI8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</autoFilter>
  <tableColumns count="35">
    <tableColumn id="1" name="Услуга" totalsRowLabel="Итог" dataDxfId="1071"/>
    <tableColumn id="2" name="Объем" dataDxfId="1070" totalsRowDxfId="1069"/>
    <tableColumn id="3" name="Периодичность" dataDxfId="1068" totalsRowDxfId="1067">
      <calculatedColumnFormula>COUNTA(Февраль[#Headers])</calculatedColumnFormula>
    </tableColumn>
    <tableColumn id="4" name="№" dataDxfId="1066" totalsRowDxfId="1065"/>
    <tableColumn id="7" name="1" dataDxfId="1064" dataCellStyle="Обычный 2 2 2"/>
    <tableColumn id="8" name="2" dataDxfId="1063" dataCellStyle="Обычный 2 2 2"/>
    <tableColumn id="9" name="3" dataDxfId="1062" dataCellStyle="Обычный 2 2 2"/>
    <tableColumn id="10" name="4" dataDxfId="1061" totalsRowDxfId="1060" dataCellStyle="Обычный 2 2 2"/>
    <tableColumn id="11" name="5" dataDxfId="1059" totalsRowDxfId="1058" dataCellStyle="Обычный 2 2 2"/>
    <tableColumn id="12" name="6" dataDxfId="1057" totalsRowDxfId="1056" dataCellStyle="Обычный 2 2 2"/>
    <tableColumn id="13" name="7" dataDxfId="1055" dataCellStyle="Обычный 2 2 2"/>
    <tableColumn id="14" name="8" dataDxfId="1054" dataCellStyle="Обычный 2 2 2"/>
    <tableColumn id="15" name="9" dataDxfId="1053" dataCellStyle="Обычный 2 2 2"/>
    <tableColumn id="16" name="10" dataDxfId="1052" dataCellStyle="Обычный 2 2 2"/>
    <tableColumn id="17" name="11" dataDxfId="1051" totalsRowDxfId="1050" dataCellStyle="Обычный 2 2 2"/>
    <tableColumn id="18" name="12" dataDxfId="1049" totalsRowDxfId="1048" dataCellStyle="Обычный 2 2 2"/>
    <tableColumn id="19" name="13" dataDxfId="1047" totalsRowDxfId="1046" dataCellStyle="Обычный 2 2 2"/>
    <tableColumn id="20" name="14" dataDxfId="1045" dataCellStyle="Обычный 2 2 2"/>
    <tableColumn id="21" name="15" dataDxfId="1044" dataCellStyle="Обычный 2 2 2"/>
    <tableColumn id="22" name="16" dataDxfId="1043" dataCellStyle="Обычный 2 2 2"/>
    <tableColumn id="23" name="17" dataDxfId="1042" dataCellStyle="Обычный 2 2 2"/>
    <tableColumn id="24" name="18" dataDxfId="1041" totalsRowDxfId="1040" dataCellStyle="Обычный 2 2 2"/>
    <tableColumn id="25" name="19" dataDxfId="1039" totalsRowDxfId="1038" dataCellStyle="Обычный 2 2 2"/>
    <tableColumn id="26" name="20" dataDxfId="1037" totalsRowDxfId="1036" dataCellStyle="Обычный 2 2 2"/>
    <tableColumn id="27" name="21" dataDxfId="1035" dataCellStyle="Обычный 2 2 2"/>
    <tableColumn id="28" name="22" dataDxfId="1034" dataCellStyle="Обычный 2 2 2"/>
    <tableColumn id="29" name="23" dataDxfId="1033" dataCellStyle="Обычный 2 2 2"/>
    <tableColumn id="30" name="24" dataDxfId="1032" dataCellStyle="Обычный 2 2 2"/>
    <tableColumn id="31" name="25" dataDxfId="1031" totalsRowDxfId="1030" dataCellStyle="Обычный 2 2 2"/>
    <tableColumn id="32" name="26" dataDxfId="1029" totalsRowDxfId="1028" dataCellStyle="Обычный 2 2 2"/>
    <tableColumn id="33" name="27" dataDxfId="1027" totalsRowDxfId="1026" dataCellStyle="Обычный 2 2 2"/>
    <tableColumn id="34" name="28" dataDxfId="1025" dataCellStyle="Обычный 2 2 2"/>
    <tableColumn id="35" name="29" dataDxfId="1024" dataCellStyle="Обычный 2 2 2"/>
    <tableColumn id="38" name="УСЛУГ" totalsRowFunction="sum" dataDxfId="1023" totalsRowDxfId="1022">
      <calculatedColumnFormula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calculatedColumnFormula>
    </tableColumn>
    <tableColumn id="39" name="МИНУТ" totalsRowFunction="sum" dataDxfId="1021" totalsRowDxfId="1020">
      <calculatedColumnFormula>IF(Февраль[[#This Row],[УСЛУГ]]&lt;&gt;"",Февраль[[#This Row],[УСЛУГ]]*Февраль[[#This Row],[Периодичность]],"")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id="18" name="ФевральИтоги" displayName="ФевральИтоги" ref="A12:AI17" totalsRowShown="0" headerRowDxfId="1019" dataDxfId="1018" tableBorderDxfId="1017">
  <autoFilter ref="A12:AI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</autoFilter>
  <tableColumns count="35">
    <tableColumn id="1" name="периодичность" dataDxfId="1016"/>
    <tableColumn id="2" name="за неделю" dataDxfId="1015">
      <calculatedColumnFormula>SUM(H23:L23)</calculatedColumnFormula>
    </tableColumn>
    <tableColumn id="3" name="всего минут" dataDxfId="1014">
      <calculatedColumnFormula>ФевральИтоги[[#This Row],[№]]*60</calculatedColumnFormula>
    </tableColumn>
    <tableColumn id="4" name="№" dataDxfId="1013"/>
    <tableColumn id="5" name="1" dataDxfId="1012">
      <calculatedColumnFormula>SUM(E10:E19)</calculatedColumnFormula>
    </tableColumn>
    <tableColumn id="6" name="2" dataDxfId="1011"/>
    <tableColumn id="7" name="3" dataDxfId="1010"/>
    <tableColumn id="8" name="4" dataDxfId="1009"/>
    <tableColumn id="9" name="5" dataDxfId="1008"/>
    <tableColumn id="10" name="6" dataDxfId="1007"/>
    <tableColumn id="11" name="7" dataDxfId="1006"/>
    <tableColumn id="12" name="8" dataDxfId="1005"/>
    <tableColumn id="13" name="9" dataDxfId="1004"/>
    <tableColumn id="14" name="10" dataDxfId="1003"/>
    <tableColumn id="15" name="11" dataDxfId="1002"/>
    <tableColumn id="16" name="12" dataDxfId="1001"/>
    <tableColumn id="17" name="13" dataDxfId="1000"/>
    <tableColumn id="18" name="14" dataDxfId="999"/>
    <tableColumn id="19" name="15" dataDxfId="998"/>
    <tableColumn id="20" name="16" dataDxfId="997"/>
    <tableColumn id="21" name="17" dataDxfId="996"/>
    <tableColumn id="22" name="18" dataDxfId="995"/>
    <tableColumn id="23" name="19" dataDxfId="994"/>
    <tableColumn id="24" name="20" dataDxfId="993"/>
    <tableColumn id="25" name="21" dataDxfId="992"/>
    <tableColumn id="26" name="22" dataDxfId="991"/>
    <tableColumn id="27" name="23" dataDxfId="990"/>
    <tableColumn id="28" name="24" dataDxfId="989"/>
    <tableColumn id="29" name="25" dataDxfId="988"/>
    <tableColumn id="30" name="26" dataDxfId="987"/>
    <tableColumn id="31" name="27" dataDxfId="986"/>
    <tableColumn id="32" name="28" dataDxfId="985"/>
    <tableColumn id="33" name="29" dataDxfId="984"/>
    <tableColumn id="35" name="УСЛУГ" dataDxfId="983">
      <calculatedColumnFormula>SUM(Сентябрь[УСЛУГ])</calculatedColumnFormula>
    </tableColumn>
    <tableColumn id="36" name="МИНУТ" dataDxfId="982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1"/>
  <sheetViews>
    <sheetView topLeftCell="B1" workbookViewId="0">
      <selection activeCell="H3" sqref="H3"/>
    </sheetView>
  </sheetViews>
  <sheetFormatPr defaultRowHeight="15.75" x14ac:dyDescent="0.25"/>
  <cols>
    <col min="1" max="1" width="71.42578125" style="1" customWidth="1"/>
    <col min="2" max="2" width="48.140625" style="1" bestFit="1" customWidth="1"/>
    <col min="3" max="3" width="9.140625" style="1"/>
    <col min="4" max="4" width="18" style="1" bestFit="1" customWidth="1"/>
    <col min="5" max="36" width="11.28515625" style="1" bestFit="1" customWidth="1"/>
    <col min="37" max="16384" width="9.140625" style="1"/>
  </cols>
  <sheetData>
    <row r="1" spans="1:36" x14ac:dyDescent="0.25">
      <c r="A1" s="1" t="s">
        <v>0</v>
      </c>
      <c r="B1" s="1" t="s">
        <v>51</v>
      </c>
      <c r="D1" s="1" t="s">
        <v>71</v>
      </c>
      <c r="F1" s="1" t="s">
        <v>136</v>
      </c>
    </row>
    <row r="2" spans="1:36" x14ac:dyDescent="0.25">
      <c r="A2" s="1" t="s">
        <v>1</v>
      </c>
      <c r="B2" s="1" t="str">
        <f>LEFT(Услуги[[#This Row],[Соц. Услуги]],40)</f>
        <v>01. Приготовление пищи</v>
      </c>
      <c r="D2" s="1">
        <v>1</v>
      </c>
      <c r="F2" s="1">
        <v>2023</v>
      </c>
    </row>
    <row r="3" spans="1:36" x14ac:dyDescent="0.25">
      <c r="A3" s="1" t="s">
        <v>2</v>
      </c>
      <c r="B3" s="1" t="str">
        <f>LEFT(Услуги[[#This Row],[Соц. Услуги]],40)</f>
        <v>02. Помощь при приготовлении пищи</v>
      </c>
      <c r="D3" s="1">
        <v>2</v>
      </c>
    </row>
    <row r="4" spans="1:36" x14ac:dyDescent="0.25">
      <c r="A4" s="1" t="s">
        <v>3</v>
      </c>
      <c r="B4" s="1" t="str">
        <f>LEFT(Услуги[[#This Row],[Соц. Услуги]],40)</f>
        <v>03. Подготовка и подача пищи</v>
      </c>
      <c r="D4" s="1">
        <v>3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</row>
    <row r="5" spans="1:36" x14ac:dyDescent="0.25">
      <c r="A5" s="1" t="s">
        <v>4</v>
      </c>
      <c r="B5" s="1" t="str">
        <f>LEFT(Услуги[[#This Row],[Соц. Услуги]],40)</f>
        <v>04. Помощь при подготовке пищи к приему</v>
      </c>
    </row>
    <row r="6" spans="1:36" x14ac:dyDescent="0.25">
      <c r="A6" s="1" t="s">
        <v>5</v>
      </c>
      <c r="B6" s="1" t="str">
        <f>LEFT(Услуги[[#This Row],[Соц. Услуги]],40)</f>
        <v>05. Кормление</v>
      </c>
      <c r="D6" s="1" t="s">
        <v>123</v>
      </c>
      <c r="E6" s="1" t="s">
        <v>89</v>
      </c>
      <c r="F6" s="1" t="s">
        <v>90</v>
      </c>
      <c r="G6" s="1" t="s">
        <v>91</v>
      </c>
      <c r="H6" s="1" t="s">
        <v>92</v>
      </c>
      <c r="I6" s="1" t="s">
        <v>93</v>
      </c>
      <c r="J6" s="1" t="s">
        <v>94</v>
      </c>
      <c r="K6" s="1" t="s">
        <v>95</v>
      </c>
      <c r="L6" s="1" t="s">
        <v>96</v>
      </c>
      <c r="M6" s="1" t="s">
        <v>97</v>
      </c>
      <c r="N6" s="1" t="s">
        <v>98</v>
      </c>
      <c r="O6" s="1" t="s">
        <v>99</v>
      </c>
      <c r="P6" s="1" t="s">
        <v>100</v>
      </c>
      <c r="Q6" s="1" t="s">
        <v>101</v>
      </c>
      <c r="R6" s="1" t="s">
        <v>102</v>
      </c>
      <c r="S6" s="1" t="s">
        <v>103</v>
      </c>
      <c r="T6" s="1" t="s">
        <v>104</v>
      </c>
      <c r="U6" s="1" t="s">
        <v>105</v>
      </c>
      <c r="V6" s="1" t="s">
        <v>106</v>
      </c>
      <c r="W6" s="1" t="s">
        <v>107</v>
      </c>
      <c r="X6" s="1" t="s">
        <v>108</v>
      </c>
      <c r="Y6" s="1" t="s">
        <v>109</v>
      </c>
      <c r="Z6" s="1" t="s">
        <v>110</v>
      </c>
      <c r="AA6" s="1" t="s">
        <v>111</v>
      </c>
      <c r="AB6" s="1" t="s">
        <v>112</v>
      </c>
      <c r="AC6" s="1" t="s">
        <v>113</v>
      </c>
      <c r="AD6" s="1" t="s">
        <v>114</v>
      </c>
      <c r="AE6" s="1" t="s">
        <v>115</v>
      </c>
      <c r="AF6" s="1" t="s">
        <v>116</v>
      </c>
      <c r="AG6" s="1" t="s">
        <v>117</v>
      </c>
      <c r="AH6" s="1" t="s">
        <v>118</v>
      </c>
      <c r="AI6" s="1" t="s">
        <v>127</v>
      </c>
      <c r="AJ6" s="24"/>
    </row>
    <row r="7" spans="1:36" x14ac:dyDescent="0.25">
      <c r="A7" s="1" t="s">
        <v>6</v>
      </c>
      <c r="B7" s="1" t="str">
        <f>LEFT(Услуги[[#This Row],[Соц. Услуги]],40)</f>
        <v>06. Помощь при приеме пищи</v>
      </c>
      <c r="D7" s="28">
        <v>44927</v>
      </c>
      <c r="E7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44927</v>
      </c>
      <c r="F7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44928</v>
      </c>
      <c r="G7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44929</v>
      </c>
      <c r="H7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44930</v>
      </c>
      <c r="I7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44931</v>
      </c>
      <c r="J7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44932</v>
      </c>
      <c r="K7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44933</v>
      </c>
      <c r="L7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44934</v>
      </c>
      <c r="M7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44935</v>
      </c>
      <c r="N7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44936</v>
      </c>
      <c r="O7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44937</v>
      </c>
      <c r="P7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44938</v>
      </c>
      <c r="Q7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44939</v>
      </c>
      <c r="R7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44940</v>
      </c>
      <c r="S7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44941</v>
      </c>
      <c r="T7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44942</v>
      </c>
      <c r="U7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44943</v>
      </c>
      <c r="V7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44944</v>
      </c>
      <c r="W7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44945</v>
      </c>
      <c r="X7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44946</v>
      </c>
      <c r="Y7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44947</v>
      </c>
      <c r="Z7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44948</v>
      </c>
      <c r="AA7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44949</v>
      </c>
      <c r="AB7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44950</v>
      </c>
      <c r="AC7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44951</v>
      </c>
      <c r="AD7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44952</v>
      </c>
      <c r="AE7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44953</v>
      </c>
      <c r="AF7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44954</v>
      </c>
      <c r="AG7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44955</v>
      </c>
      <c r="AH7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44956</v>
      </c>
      <c r="AI7" s="24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>44957</v>
      </c>
      <c r="AJ7" s="25"/>
    </row>
    <row r="8" spans="1:36" x14ac:dyDescent="0.25">
      <c r="A8" s="1" t="s">
        <v>7</v>
      </c>
      <c r="B8" s="1" t="str">
        <f>LEFT(Услуги[[#This Row],[Соц. Услуги]],40)</f>
        <v>07. Помощь в соблюдении питьевого режима</v>
      </c>
      <c r="D8" s="28">
        <v>44958</v>
      </c>
      <c r="E8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44958</v>
      </c>
      <c r="F8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44959</v>
      </c>
      <c r="G8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44960</v>
      </c>
      <c r="H8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44961</v>
      </c>
      <c r="I8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44962</v>
      </c>
      <c r="J8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44963</v>
      </c>
      <c r="K8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44964</v>
      </c>
      <c r="L8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44965</v>
      </c>
      <c r="M8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44966</v>
      </c>
      <c r="N8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44967</v>
      </c>
      <c r="O8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44968</v>
      </c>
      <c r="P8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44969</v>
      </c>
      <c r="Q8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44970</v>
      </c>
      <c r="R8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44971</v>
      </c>
      <c r="S8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44972</v>
      </c>
      <c r="T8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44973</v>
      </c>
      <c r="U8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44974</v>
      </c>
      <c r="V8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44975</v>
      </c>
      <c r="W8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44976</v>
      </c>
      <c r="X8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44977</v>
      </c>
      <c r="Y8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44978</v>
      </c>
      <c r="Z8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44979</v>
      </c>
      <c r="AA8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44980</v>
      </c>
      <c r="AB8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44981</v>
      </c>
      <c r="AC8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44982</v>
      </c>
      <c r="AD8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44983</v>
      </c>
      <c r="AE8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44984</v>
      </c>
      <c r="AF8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44985</v>
      </c>
      <c r="AG8" s="24" t="str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/>
      </c>
      <c r="AH8" s="24" t="str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/>
      </c>
      <c r="AI8" s="24" t="str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/>
      </c>
    </row>
    <row r="9" spans="1:36" x14ac:dyDescent="0.25">
      <c r="A9" s="1" t="s">
        <v>8</v>
      </c>
      <c r="B9" s="1" t="str">
        <f>LEFT(Услуги[[#This Row],[Соц. Услуги]],40)</f>
        <v>08. Умывание</v>
      </c>
      <c r="D9" s="28">
        <v>44986</v>
      </c>
      <c r="E9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44986</v>
      </c>
      <c r="F9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44987</v>
      </c>
      <c r="G9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44988</v>
      </c>
      <c r="H9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44989</v>
      </c>
      <c r="I9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44990</v>
      </c>
      <c r="J9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44991</v>
      </c>
      <c r="K9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44992</v>
      </c>
      <c r="L9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44993</v>
      </c>
      <c r="M9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44994</v>
      </c>
      <c r="N9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44995</v>
      </c>
      <c r="O9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44996</v>
      </c>
      <c r="P9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44997</v>
      </c>
      <c r="Q9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44998</v>
      </c>
      <c r="R9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44999</v>
      </c>
      <c r="S9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45000</v>
      </c>
      <c r="T9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45001</v>
      </c>
      <c r="U9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45002</v>
      </c>
      <c r="V9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45003</v>
      </c>
      <c r="W9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45004</v>
      </c>
      <c r="X9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45005</v>
      </c>
      <c r="Y9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45006</v>
      </c>
      <c r="Z9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45007</v>
      </c>
      <c r="AA9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45008</v>
      </c>
      <c r="AB9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45009</v>
      </c>
      <c r="AC9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45010</v>
      </c>
      <c r="AD9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45011</v>
      </c>
      <c r="AE9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45012</v>
      </c>
      <c r="AF9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45013</v>
      </c>
      <c r="AG9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45014</v>
      </c>
      <c r="AH9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45015</v>
      </c>
      <c r="AI9" s="24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>45016</v>
      </c>
    </row>
    <row r="10" spans="1:36" x14ac:dyDescent="0.25">
      <c r="A10" s="1" t="s">
        <v>9</v>
      </c>
      <c r="B10" s="1" t="str">
        <f>LEFT(Услуги[[#This Row],[Соц. Услуги]],40)</f>
        <v>09. Помощь при умывании</v>
      </c>
      <c r="D10" s="28">
        <v>45017</v>
      </c>
      <c r="E10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45017</v>
      </c>
      <c r="F10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45018</v>
      </c>
      <c r="G10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45019</v>
      </c>
      <c r="H10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45020</v>
      </c>
      <c r="I10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45021</v>
      </c>
      <c r="J10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45022</v>
      </c>
      <c r="K10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45023</v>
      </c>
      <c r="L10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45024</v>
      </c>
      <c r="M10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45025</v>
      </c>
      <c r="N10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45026</v>
      </c>
      <c r="O10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45027</v>
      </c>
      <c r="P10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45028</v>
      </c>
      <c r="Q10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45029</v>
      </c>
      <c r="R10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45030</v>
      </c>
      <c r="S10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45031</v>
      </c>
      <c r="T10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45032</v>
      </c>
      <c r="U10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45033</v>
      </c>
      <c r="V10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45034</v>
      </c>
      <c r="W10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45035</v>
      </c>
      <c r="X10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45036</v>
      </c>
      <c r="Y10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45037</v>
      </c>
      <c r="Z10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45038</v>
      </c>
      <c r="AA10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45039</v>
      </c>
      <c r="AB10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45040</v>
      </c>
      <c r="AC10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45041</v>
      </c>
      <c r="AD10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45042</v>
      </c>
      <c r="AE10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45043</v>
      </c>
      <c r="AF10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45044</v>
      </c>
      <c r="AG10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45045</v>
      </c>
      <c r="AH10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45046</v>
      </c>
      <c r="AI10" s="24" t="str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/>
      </c>
    </row>
    <row r="11" spans="1:36" x14ac:dyDescent="0.25">
      <c r="A11" s="1" t="s">
        <v>10</v>
      </c>
      <c r="B11" s="1" t="str">
        <f>LEFT(Услуги[[#This Row],[Соц. Услуги]],40)</f>
        <v>10. Купание в кровати, включая мытье гол</v>
      </c>
      <c r="D11" s="28">
        <v>45047</v>
      </c>
      <c r="E11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45047</v>
      </c>
      <c r="F11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45048</v>
      </c>
      <c r="G11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45049</v>
      </c>
      <c r="H11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45050</v>
      </c>
      <c r="I11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45051</v>
      </c>
      <c r="J11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45052</v>
      </c>
      <c r="K11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45053</v>
      </c>
      <c r="L11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45054</v>
      </c>
      <c r="M11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45055</v>
      </c>
      <c r="N11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45056</v>
      </c>
      <c r="O11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45057</v>
      </c>
      <c r="P11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45058</v>
      </c>
      <c r="Q11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45059</v>
      </c>
      <c r="R11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45060</v>
      </c>
      <c r="S11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45061</v>
      </c>
      <c r="T11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45062</v>
      </c>
      <c r="U11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45063</v>
      </c>
      <c r="V11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45064</v>
      </c>
      <c r="W11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45065</v>
      </c>
      <c r="X11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45066</v>
      </c>
      <c r="Y11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45067</v>
      </c>
      <c r="Z11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45068</v>
      </c>
      <c r="AA11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45069</v>
      </c>
      <c r="AB11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45070</v>
      </c>
      <c r="AC11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45071</v>
      </c>
      <c r="AD11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45072</v>
      </c>
      <c r="AE11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45073</v>
      </c>
      <c r="AF11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45074</v>
      </c>
      <c r="AG11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45075</v>
      </c>
      <c r="AH11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45076</v>
      </c>
      <c r="AI11" s="24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>45077</v>
      </c>
    </row>
    <row r="12" spans="1:36" x14ac:dyDescent="0.25">
      <c r="A12" s="1" t="s">
        <v>11</v>
      </c>
      <c r="B12" s="1" t="str">
        <f>LEFT(Услуги[[#This Row],[Соц. Услуги]],40)</f>
        <v xml:space="preserve">11. Купание в приспособленном помещении </v>
      </c>
      <c r="D12" s="28">
        <v>45078</v>
      </c>
      <c r="E12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45078</v>
      </c>
      <c r="F12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45079</v>
      </c>
      <c r="G12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45080</v>
      </c>
      <c r="H12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45081</v>
      </c>
      <c r="I12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45082</v>
      </c>
      <c r="J12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45083</v>
      </c>
      <c r="K12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45084</v>
      </c>
      <c r="L12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45085</v>
      </c>
      <c r="M12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45086</v>
      </c>
      <c r="N12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45087</v>
      </c>
      <c r="O12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45088</v>
      </c>
      <c r="P12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45089</v>
      </c>
      <c r="Q12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45090</v>
      </c>
      <c r="R12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45091</v>
      </c>
      <c r="S12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45092</v>
      </c>
      <c r="T12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45093</v>
      </c>
      <c r="U12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45094</v>
      </c>
      <c r="V12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45095</v>
      </c>
      <c r="W12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45096</v>
      </c>
      <c r="X12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45097</v>
      </c>
      <c r="Y12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45098</v>
      </c>
      <c r="Z12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45099</v>
      </c>
      <c r="AA12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45100</v>
      </c>
      <c r="AB12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45101</v>
      </c>
      <c r="AC12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45102</v>
      </c>
      <c r="AD12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45103</v>
      </c>
      <c r="AE12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45104</v>
      </c>
      <c r="AF12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45105</v>
      </c>
      <c r="AG12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45106</v>
      </c>
      <c r="AH12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45107</v>
      </c>
      <c r="AI12" s="24" t="str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/>
      </c>
    </row>
    <row r="13" spans="1:36" x14ac:dyDescent="0.25">
      <c r="A13" s="1" t="s">
        <v>12</v>
      </c>
      <c r="B13" s="1" t="str">
        <f>LEFT(Услуги[[#This Row],[Соц. Услуги]],40)</f>
        <v>12. Помощь при купании в приспособленном</v>
      </c>
      <c r="D13" s="28">
        <v>45108</v>
      </c>
      <c r="E13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45108</v>
      </c>
      <c r="F13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45109</v>
      </c>
      <c r="G13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45110</v>
      </c>
      <c r="H13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45111</v>
      </c>
      <c r="I13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45112</v>
      </c>
      <c r="J13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45113</v>
      </c>
      <c r="K13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45114</v>
      </c>
      <c r="L13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45115</v>
      </c>
      <c r="M13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45116</v>
      </c>
      <c r="N13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45117</v>
      </c>
      <c r="O13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45118</v>
      </c>
      <c r="P13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45119</v>
      </c>
      <c r="Q13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45120</v>
      </c>
      <c r="R13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45121</v>
      </c>
      <c r="S13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45122</v>
      </c>
      <c r="T13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45123</v>
      </c>
      <c r="U13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45124</v>
      </c>
      <c r="V13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45125</v>
      </c>
      <c r="W13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45126</v>
      </c>
      <c r="X13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45127</v>
      </c>
      <c r="Y13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45128</v>
      </c>
      <c r="Z13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45129</v>
      </c>
      <c r="AA13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45130</v>
      </c>
      <c r="AB13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45131</v>
      </c>
      <c r="AC13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45132</v>
      </c>
      <c r="AD13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45133</v>
      </c>
      <c r="AE13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45134</v>
      </c>
      <c r="AF13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45135</v>
      </c>
      <c r="AG13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45136</v>
      </c>
      <c r="AH13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45137</v>
      </c>
      <c r="AI13" s="24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>45138</v>
      </c>
    </row>
    <row r="14" spans="1:36" x14ac:dyDescent="0.25">
      <c r="A14" s="1" t="s">
        <v>13</v>
      </c>
      <c r="B14" s="1" t="str">
        <f>LEFT(Услуги[[#This Row],[Соц. Услуги]],40)</f>
        <v>13. Гигиеническое обтирание</v>
      </c>
      <c r="D14" s="28">
        <v>45139</v>
      </c>
      <c r="E14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45139</v>
      </c>
      <c r="F14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45140</v>
      </c>
      <c r="G14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45141</v>
      </c>
      <c r="H14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45142</v>
      </c>
      <c r="I14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45143</v>
      </c>
      <c r="J14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45144</v>
      </c>
      <c r="K14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45145</v>
      </c>
      <c r="L14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45146</v>
      </c>
      <c r="M14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45147</v>
      </c>
      <c r="N14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45148</v>
      </c>
      <c r="O14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45149</v>
      </c>
      <c r="P14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45150</v>
      </c>
      <c r="Q14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45151</v>
      </c>
      <c r="R14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45152</v>
      </c>
      <c r="S14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45153</v>
      </c>
      <c r="T14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45154</v>
      </c>
      <c r="U14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45155</v>
      </c>
      <c r="V14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45156</v>
      </c>
      <c r="W14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45157</v>
      </c>
      <c r="X14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45158</v>
      </c>
      <c r="Y14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45159</v>
      </c>
      <c r="Z14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45160</v>
      </c>
      <c r="AA14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45161</v>
      </c>
      <c r="AB14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45162</v>
      </c>
      <c r="AC14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45163</v>
      </c>
      <c r="AD14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45164</v>
      </c>
      <c r="AE14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45165</v>
      </c>
      <c r="AF14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45166</v>
      </c>
      <c r="AG14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45167</v>
      </c>
      <c r="AH14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45168</v>
      </c>
      <c r="AI14" s="24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>45169</v>
      </c>
    </row>
    <row r="15" spans="1:36" x14ac:dyDescent="0.25">
      <c r="A15" s="1" t="s">
        <v>14</v>
      </c>
      <c r="B15" s="1" t="str">
        <f>LEFT(Услуги[[#This Row],[Соц. Услуги]],40)</f>
        <v>14. Мытье головы, в том числе в кровати</v>
      </c>
      <c r="D15" s="28">
        <v>45170</v>
      </c>
      <c r="E15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45170</v>
      </c>
      <c r="F15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45171</v>
      </c>
      <c r="G15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45172</v>
      </c>
      <c r="H15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45173</v>
      </c>
      <c r="I15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45174</v>
      </c>
      <c r="J15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45175</v>
      </c>
      <c r="K15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45176</v>
      </c>
      <c r="L15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45177</v>
      </c>
      <c r="M15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45178</v>
      </c>
      <c r="N15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45179</v>
      </c>
      <c r="O15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45180</v>
      </c>
      <c r="P15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45181</v>
      </c>
      <c r="Q15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45182</v>
      </c>
      <c r="R15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45183</v>
      </c>
      <c r="S15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45184</v>
      </c>
      <c r="T15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45185</v>
      </c>
      <c r="U15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45186</v>
      </c>
      <c r="V15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45187</v>
      </c>
      <c r="W15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45188</v>
      </c>
      <c r="X15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45189</v>
      </c>
      <c r="Y15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45190</v>
      </c>
      <c r="Z15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45191</v>
      </c>
      <c r="AA15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45192</v>
      </c>
      <c r="AB15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45193</v>
      </c>
      <c r="AC15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45194</v>
      </c>
      <c r="AD15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45195</v>
      </c>
      <c r="AE15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45196</v>
      </c>
      <c r="AF15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45197</v>
      </c>
      <c r="AG15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45198</v>
      </c>
      <c r="AH15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45199</v>
      </c>
      <c r="AI15" s="24" t="str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/>
      </c>
    </row>
    <row r="16" spans="1:36" x14ac:dyDescent="0.25">
      <c r="A16" s="1" t="s">
        <v>15</v>
      </c>
      <c r="B16" s="1" t="str">
        <f>LEFT(Услуги[[#This Row],[Соц. Услуги]],40)</f>
        <v>15. Помощь при мытье головы</v>
      </c>
      <c r="D16" s="28">
        <v>45200</v>
      </c>
      <c r="E16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45200</v>
      </c>
      <c r="F16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45201</v>
      </c>
      <c r="G16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45202</v>
      </c>
      <c r="H16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45203</v>
      </c>
      <c r="I16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45204</v>
      </c>
      <c r="J16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45205</v>
      </c>
      <c r="K16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45206</v>
      </c>
      <c r="L16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45207</v>
      </c>
      <c r="M16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45208</v>
      </c>
      <c r="N16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45209</v>
      </c>
      <c r="O16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45210</v>
      </c>
      <c r="P16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45211</v>
      </c>
      <c r="Q16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45212</v>
      </c>
      <c r="R16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45213</v>
      </c>
      <c r="S16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45214</v>
      </c>
      <c r="T16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45215</v>
      </c>
      <c r="U16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45216</v>
      </c>
      <c r="V16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45217</v>
      </c>
      <c r="W16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45218</v>
      </c>
      <c r="X16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45219</v>
      </c>
      <c r="Y16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45220</v>
      </c>
      <c r="Z16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45221</v>
      </c>
      <c r="AA16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45222</v>
      </c>
      <c r="AB16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45223</v>
      </c>
      <c r="AC16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45224</v>
      </c>
      <c r="AD16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45225</v>
      </c>
      <c r="AE16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45226</v>
      </c>
      <c r="AF16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45227</v>
      </c>
      <c r="AG16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45228</v>
      </c>
      <c r="AH16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45229</v>
      </c>
      <c r="AI16" s="24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>45230</v>
      </c>
    </row>
    <row r="17" spans="1:35" x14ac:dyDescent="0.25">
      <c r="A17" s="1" t="s">
        <v>16</v>
      </c>
      <c r="B17" s="1" t="str">
        <f>LEFT(Услуги[[#This Row],[Соц. Услуги]],40)</f>
        <v>16. Подмывание</v>
      </c>
      <c r="D17" s="28">
        <v>45231</v>
      </c>
      <c r="E17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45231</v>
      </c>
      <c r="F17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45232</v>
      </c>
      <c r="G17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45233</v>
      </c>
      <c r="H17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45234</v>
      </c>
      <c r="I17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45235</v>
      </c>
      <c r="J17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45236</v>
      </c>
      <c r="K17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45237</v>
      </c>
      <c r="L17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45238</v>
      </c>
      <c r="M17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45239</v>
      </c>
      <c r="N17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45240</v>
      </c>
      <c r="O17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45241</v>
      </c>
      <c r="P17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45242</v>
      </c>
      <c r="Q17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45243</v>
      </c>
      <c r="R17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45244</v>
      </c>
      <c r="S17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45245</v>
      </c>
      <c r="T17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45246</v>
      </c>
      <c r="U17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45247</v>
      </c>
      <c r="V17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45248</v>
      </c>
      <c r="W17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45249</v>
      </c>
      <c r="X17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45250</v>
      </c>
      <c r="Y17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45251</v>
      </c>
      <c r="Z17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45252</v>
      </c>
      <c r="AA17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45253</v>
      </c>
      <c r="AB17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45254</v>
      </c>
      <c r="AC17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45255</v>
      </c>
      <c r="AD17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45256</v>
      </c>
      <c r="AE17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45257</v>
      </c>
      <c r="AF17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45258</v>
      </c>
      <c r="AG17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45259</v>
      </c>
      <c r="AH17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45260</v>
      </c>
      <c r="AI17" s="24" t="str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/>
      </c>
    </row>
    <row r="18" spans="1:35" x14ac:dyDescent="0.25">
      <c r="A18" s="1" t="s">
        <v>17</v>
      </c>
      <c r="B18" s="1" t="str">
        <f>LEFT(Услуги[[#This Row],[Соц. Услуги]],40)</f>
        <v>17. Гигиеническая обработка рук и ногтей</v>
      </c>
      <c r="D18" s="28">
        <v>45261</v>
      </c>
      <c r="E18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45261</v>
      </c>
      <c r="F18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45262</v>
      </c>
      <c r="G18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45263</v>
      </c>
      <c r="H18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45264</v>
      </c>
      <c r="I18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45265</v>
      </c>
      <c r="J18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45266</v>
      </c>
      <c r="K18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45267</v>
      </c>
      <c r="L18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45268</v>
      </c>
      <c r="M18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45269</v>
      </c>
      <c r="N18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45270</v>
      </c>
      <c r="O18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45271</v>
      </c>
      <c r="P18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45272</v>
      </c>
      <c r="Q18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45273</v>
      </c>
      <c r="R18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45274</v>
      </c>
      <c r="S18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45275</v>
      </c>
      <c r="T18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45276</v>
      </c>
      <c r="U18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45277</v>
      </c>
      <c r="V18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45278</v>
      </c>
      <c r="W18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45279</v>
      </c>
      <c r="X18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45280</v>
      </c>
      <c r="Y18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45281</v>
      </c>
      <c r="Z18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45282</v>
      </c>
      <c r="AA18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45283</v>
      </c>
      <c r="AB18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45284</v>
      </c>
      <c r="AC18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45285</v>
      </c>
      <c r="AD18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45286</v>
      </c>
      <c r="AE18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45287</v>
      </c>
      <c r="AF18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45288</v>
      </c>
      <c r="AG18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45289</v>
      </c>
      <c r="AH18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45290</v>
      </c>
      <c r="AI18" s="24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>45291</v>
      </c>
    </row>
    <row r="19" spans="1:35" x14ac:dyDescent="0.25">
      <c r="A19" s="1" t="s">
        <v>18</v>
      </c>
      <c r="B19" s="1" t="str">
        <f>LEFT(Услуги[[#This Row],[Соц. Услуги]],40)</f>
        <v>18. Помощь при гигиенической обработке р</v>
      </c>
    </row>
    <row r="20" spans="1:35" x14ac:dyDescent="0.25">
      <c r="A20" s="1" t="s">
        <v>19</v>
      </c>
      <c r="B20" s="1" t="str">
        <f>LEFT(Услуги[[#This Row],[Соц. Услуги]],40)</f>
        <v>19. Мытье ног</v>
      </c>
      <c r="D20" s="1" t="s">
        <v>123</v>
      </c>
      <c r="E20" s="1" t="s">
        <v>89</v>
      </c>
      <c r="F20" s="1" t="s">
        <v>90</v>
      </c>
      <c r="G20" s="1" t="s">
        <v>91</v>
      </c>
      <c r="H20" s="1" t="s">
        <v>92</v>
      </c>
      <c r="I20" s="1" t="s">
        <v>93</v>
      </c>
      <c r="J20" s="1" t="s">
        <v>94</v>
      </c>
      <c r="K20" s="1" t="s">
        <v>95</v>
      </c>
      <c r="L20" s="1" t="s">
        <v>96</v>
      </c>
      <c r="M20" s="1" t="s">
        <v>97</v>
      </c>
      <c r="N20" s="1" t="s">
        <v>98</v>
      </c>
      <c r="O20" s="1" t="s">
        <v>99</v>
      </c>
      <c r="P20" s="1" t="s">
        <v>100</v>
      </c>
      <c r="Q20" s="1" t="s">
        <v>101</v>
      </c>
      <c r="R20" s="1" t="s">
        <v>102</v>
      </c>
      <c r="S20" s="1" t="s">
        <v>103</v>
      </c>
      <c r="T20" s="1" t="s">
        <v>104</v>
      </c>
      <c r="U20" s="1" t="s">
        <v>105</v>
      </c>
      <c r="V20" s="1" t="s">
        <v>106</v>
      </c>
      <c r="W20" s="1" t="s">
        <v>107</v>
      </c>
      <c r="X20" s="1" t="s">
        <v>108</v>
      </c>
      <c r="Y20" s="1" t="s">
        <v>109</v>
      </c>
      <c r="Z20" s="1" t="s">
        <v>110</v>
      </c>
      <c r="AA20" s="1" t="s">
        <v>111</v>
      </c>
      <c r="AB20" s="1" t="s">
        <v>112</v>
      </c>
      <c r="AC20" s="1" t="s">
        <v>113</v>
      </c>
      <c r="AD20" s="1" t="s">
        <v>114</v>
      </c>
      <c r="AE20" s="1" t="s">
        <v>115</v>
      </c>
      <c r="AF20" s="1" t="s">
        <v>116</v>
      </c>
      <c r="AG20" s="1" t="s">
        <v>117</v>
      </c>
      <c r="AH20" s="1" t="s">
        <v>118</v>
      </c>
      <c r="AI20" s="1" t="s">
        <v>127</v>
      </c>
    </row>
    <row r="21" spans="1:35" x14ac:dyDescent="0.25">
      <c r="A21" s="1" t="s">
        <v>20</v>
      </c>
      <c r="B21" s="1" t="str">
        <f>LEFT(Услуги[[#This Row],[Соц. Услуги]],40)</f>
        <v>20. Помощь при мытье ног</v>
      </c>
      <c r="D21" s="1" t="s">
        <v>133</v>
      </c>
      <c r="E21" s="25">
        <f t="shared" ref="E21:T21" si="0">IF(E7="",0,ROUNDUP(DAY(E7)/7,0)+(WEEKDAY(E7-DAY(E7)+1,11)&gt;WEEKDAY(E7,11)))</f>
        <v>1</v>
      </c>
      <c r="F21" s="25">
        <f t="shared" si="0"/>
        <v>2</v>
      </c>
      <c r="G21" s="25">
        <f t="shared" si="0"/>
        <v>2</v>
      </c>
      <c r="H21" s="25">
        <f t="shared" si="0"/>
        <v>2</v>
      </c>
      <c r="I21" s="25">
        <f t="shared" si="0"/>
        <v>2</v>
      </c>
      <c r="J21" s="25">
        <f t="shared" si="0"/>
        <v>2</v>
      </c>
      <c r="K21" s="25">
        <f t="shared" si="0"/>
        <v>2</v>
      </c>
      <c r="L21" s="25">
        <f t="shared" si="0"/>
        <v>2</v>
      </c>
      <c r="M21" s="25">
        <f t="shared" si="0"/>
        <v>3</v>
      </c>
      <c r="N21" s="25">
        <f t="shared" si="0"/>
        <v>3</v>
      </c>
      <c r="O21" s="25">
        <f t="shared" si="0"/>
        <v>3</v>
      </c>
      <c r="P21" s="25">
        <f t="shared" si="0"/>
        <v>3</v>
      </c>
      <c r="Q21" s="25">
        <f t="shared" si="0"/>
        <v>3</v>
      </c>
      <c r="R21" s="25">
        <f t="shared" si="0"/>
        <v>3</v>
      </c>
      <c r="S21" s="25">
        <f t="shared" si="0"/>
        <v>3</v>
      </c>
      <c r="T21" s="25">
        <f t="shared" si="0"/>
        <v>4</v>
      </c>
      <c r="U21" s="25">
        <f t="shared" ref="F21:AI29" si="1">IF(U7="",0,ROUNDUP(DAY(U7)/7,0)+(WEEKDAY(U7-DAY(U7)+1,11)&gt;WEEKDAY(U7,11)))</f>
        <v>4</v>
      </c>
      <c r="V21" s="25">
        <f t="shared" si="1"/>
        <v>4</v>
      </c>
      <c r="W21" s="25">
        <f t="shared" si="1"/>
        <v>4</v>
      </c>
      <c r="X21" s="25">
        <f t="shared" si="1"/>
        <v>4</v>
      </c>
      <c r="Y21" s="25">
        <f t="shared" si="1"/>
        <v>4</v>
      </c>
      <c r="Z21" s="25">
        <f t="shared" si="1"/>
        <v>4</v>
      </c>
      <c r="AA21" s="25">
        <f t="shared" si="1"/>
        <v>5</v>
      </c>
      <c r="AB21" s="25">
        <f t="shared" si="1"/>
        <v>5</v>
      </c>
      <c r="AC21" s="25">
        <f t="shared" si="1"/>
        <v>5</v>
      </c>
      <c r="AD21" s="25">
        <f t="shared" si="1"/>
        <v>5</v>
      </c>
      <c r="AE21" s="25">
        <f t="shared" si="1"/>
        <v>5</v>
      </c>
      <c r="AF21" s="25">
        <f t="shared" si="1"/>
        <v>5</v>
      </c>
      <c r="AG21" s="25">
        <f t="shared" si="1"/>
        <v>5</v>
      </c>
      <c r="AH21" s="25">
        <f t="shared" si="1"/>
        <v>6</v>
      </c>
      <c r="AI21" s="25">
        <f t="shared" si="1"/>
        <v>6</v>
      </c>
    </row>
    <row r="22" spans="1:35" x14ac:dyDescent="0.25">
      <c r="A22" s="1" t="s">
        <v>21</v>
      </c>
      <c r="B22" s="1" t="str">
        <f>LEFT(Услуги[[#This Row],[Соц. Услуги]],40)</f>
        <v>21. Гигиеническая обработка ног и ногтей</v>
      </c>
      <c r="D22" s="1" t="s">
        <v>132</v>
      </c>
      <c r="E22" s="25">
        <f t="shared" ref="E22:E32" si="2">IF(E8="",0,ROUNDUP(DAY(E8)/7,0)+(WEEKDAY(E8-DAY(E8)+1,11)&gt;WEEKDAY(E8,11)))</f>
        <v>1</v>
      </c>
      <c r="F22" s="25">
        <f t="shared" si="1"/>
        <v>1</v>
      </c>
      <c r="G22" s="25">
        <f t="shared" si="1"/>
        <v>1</v>
      </c>
      <c r="H22" s="25">
        <f t="shared" si="1"/>
        <v>1</v>
      </c>
      <c r="I22" s="25">
        <f t="shared" si="1"/>
        <v>1</v>
      </c>
      <c r="J22" s="25">
        <f t="shared" si="1"/>
        <v>2</v>
      </c>
      <c r="K22" s="25">
        <f t="shared" si="1"/>
        <v>2</v>
      </c>
      <c r="L22" s="25">
        <f t="shared" si="1"/>
        <v>2</v>
      </c>
      <c r="M22" s="25">
        <f t="shared" si="1"/>
        <v>2</v>
      </c>
      <c r="N22" s="25">
        <f t="shared" si="1"/>
        <v>2</v>
      </c>
      <c r="O22" s="25">
        <f t="shared" si="1"/>
        <v>2</v>
      </c>
      <c r="P22" s="25">
        <f t="shared" si="1"/>
        <v>2</v>
      </c>
      <c r="Q22" s="25">
        <f t="shared" si="1"/>
        <v>3</v>
      </c>
      <c r="R22" s="25">
        <f t="shared" si="1"/>
        <v>3</v>
      </c>
      <c r="S22" s="25">
        <f t="shared" si="1"/>
        <v>3</v>
      </c>
      <c r="T22" s="25">
        <f t="shared" si="1"/>
        <v>3</v>
      </c>
      <c r="U22" s="25">
        <f t="shared" si="1"/>
        <v>3</v>
      </c>
      <c r="V22" s="25">
        <f t="shared" si="1"/>
        <v>3</v>
      </c>
      <c r="W22" s="25">
        <f t="shared" si="1"/>
        <v>3</v>
      </c>
      <c r="X22" s="25">
        <f t="shared" si="1"/>
        <v>4</v>
      </c>
      <c r="Y22" s="25">
        <f t="shared" si="1"/>
        <v>4</v>
      </c>
      <c r="Z22" s="25">
        <f t="shared" si="1"/>
        <v>4</v>
      </c>
      <c r="AA22" s="25">
        <f t="shared" si="1"/>
        <v>4</v>
      </c>
      <c r="AB22" s="25">
        <f t="shared" si="1"/>
        <v>4</v>
      </c>
      <c r="AC22" s="25">
        <f t="shared" si="1"/>
        <v>4</v>
      </c>
      <c r="AD22" s="25">
        <f t="shared" si="1"/>
        <v>4</v>
      </c>
      <c r="AE22" s="25">
        <f t="shared" si="1"/>
        <v>5</v>
      </c>
      <c r="AF22" s="25">
        <f t="shared" si="1"/>
        <v>5</v>
      </c>
      <c r="AG22" s="25">
        <f t="shared" si="1"/>
        <v>0</v>
      </c>
      <c r="AH22" s="25">
        <f t="shared" si="1"/>
        <v>0</v>
      </c>
      <c r="AI22" s="25">
        <f t="shared" si="1"/>
        <v>0</v>
      </c>
    </row>
    <row r="23" spans="1:35" x14ac:dyDescent="0.25">
      <c r="A23" s="1" t="s">
        <v>22</v>
      </c>
      <c r="B23" s="1" t="str">
        <f>LEFT(Услуги[[#This Row],[Соц. Услуги]],40)</f>
        <v>22. Помощь при гигиенической обработка н</v>
      </c>
      <c r="D23" s="1" t="s">
        <v>131</v>
      </c>
      <c r="E23" s="25">
        <f t="shared" si="2"/>
        <v>1</v>
      </c>
      <c r="F23" s="25">
        <f t="shared" si="1"/>
        <v>1</v>
      </c>
      <c r="G23" s="25">
        <f t="shared" si="1"/>
        <v>1</v>
      </c>
      <c r="H23" s="25">
        <f t="shared" si="1"/>
        <v>1</v>
      </c>
      <c r="I23" s="25">
        <f t="shared" si="1"/>
        <v>1</v>
      </c>
      <c r="J23" s="25">
        <f t="shared" si="1"/>
        <v>2</v>
      </c>
      <c r="K23" s="25">
        <f t="shared" si="1"/>
        <v>2</v>
      </c>
      <c r="L23" s="25">
        <f t="shared" si="1"/>
        <v>2</v>
      </c>
      <c r="M23" s="25">
        <f t="shared" si="1"/>
        <v>2</v>
      </c>
      <c r="N23" s="25">
        <f t="shared" si="1"/>
        <v>2</v>
      </c>
      <c r="O23" s="25">
        <f t="shared" si="1"/>
        <v>2</v>
      </c>
      <c r="P23" s="25">
        <f t="shared" si="1"/>
        <v>2</v>
      </c>
      <c r="Q23" s="25">
        <f t="shared" si="1"/>
        <v>3</v>
      </c>
      <c r="R23" s="25">
        <f t="shared" si="1"/>
        <v>3</v>
      </c>
      <c r="S23" s="25">
        <f t="shared" si="1"/>
        <v>3</v>
      </c>
      <c r="T23" s="25">
        <f t="shared" si="1"/>
        <v>3</v>
      </c>
      <c r="U23" s="25">
        <f t="shared" si="1"/>
        <v>3</v>
      </c>
      <c r="V23" s="25">
        <f t="shared" si="1"/>
        <v>3</v>
      </c>
      <c r="W23" s="25">
        <f t="shared" si="1"/>
        <v>3</v>
      </c>
      <c r="X23" s="25">
        <f t="shared" si="1"/>
        <v>4</v>
      </c>
      <c r="Y23" s="25">
        <f t="shared" si="1"/>
        <v>4</v>
      </c>
      <c r="Z23" s="25">
        <f t="shared" si="1"/>
        <v>4</v>
      </c>
      <c r="AA23" s="25">
        <f t="shared" si="1"/>
        <v>4</v>
      </c>
      <c r="AB23" s="25">
        <f t="shared" si="1"/>
        <v>4</v>
      </c>
      <c r="AC23" s="25">
        <f t="shared" si="1"/>
        <v>4</v>
      </c>
      <c r="AD23" s="25">
        <f t="shared" si="1"/>
        <v>4</v>
      </c>
      <c r="AE23" s="25">
        <f t="shared" si="1"/>
        <v>5</v>
      </c>
      <c r="AF23" s="25">
        <f t="shared" si="1"/>
        <v>5</v>
      </c>
      <c r="AG23" s="25">
        <f t="shared" si="1"/>
        <v>5</v>
      </c>
      <c r="AH23" s="25">
        <f t="shared" si="1"/>
        <v>5</v>
      </c>
      <c r="AI23" s="25">
        <f t="shared" si="1"/>
        <v>5</v>
      </c>
    </row>
    <row r="24" spans="1:35" x14ac:dyDescent="0.25">
      <c r="A24" s="1" t="s">
        <v>23</v>
      </c>
      <c r="B24" s="1" t="str">
        <f>LEFT(Услуги[[#This Row],[Соц. Услуги]],40)</f>
        <v>23. Гигиенииеское бритье</v>
      </c>
      <c r="D24" s="1" t="s">
        <v>130</v>
      </c>
      <c r="E24" s="25">
        <f t="shared" si="2"/>
        <v>1</v>
      </c>
      <c r="F24" s="25">
        <f t="shared" si="1"/>
        <v>1</v>
      </c>
      <c r="G24" s="25">
        <f t="shared" si="1"/>
        <v>2</v>
      </c>
      <c r="H24" s="25">
        <f t="shared" si="1"/>
        <v>2</v>
      </c>
      <c r="I24" s="25">
        <f t="shared" si="1"/>
        <v>2</v>
      </c>
      <c r="J24" s="25">
        <f t="shared" si="1"/>
        <v>2</v>
      </c>
      <c r="K24" s="25">
        <f t="shared" si="1"/>
        <v>2</v>
      </c>
      <c r="L24" s="25">
        <f t="shared" si="1"/>
        <v>2</v>
      </c>
      <c r="M24" s="25">
        <f t="shared" si="1"/>
        <v>2</v>
      </c>
      <c r="N24" s="25">
        <f t="shared" si="1"/>
        <v>3</v>
      </c>
      <c r="O24" s="25">
        <f t="shared" si="1"/>
        <v>3</v>
      </c>
      <c r="P24" s="25">
        <f t="shared" si="1"/>
        <v>3</v>
      </c>
      <c r="Q24" s="25">
        <f t="shared" si="1"/>
        <v>3</v>
      </c>
      <c r="R24" s="25">
        <f t="shared" si="1"/>
        <v>3</v>
      </c>
      <c r="S24" s="25">
        <f t="shared" si="1"/>
        <v>3</v>
      </c>
      <c r="T24" s="25">
        <f t="shared" si="1"/>
        <v>3</v>
      </c>
      <c r="U24" s="25">
        <f t="shared" si="1"/>
        <v>4</v>
      </c>
      <c r="V24" s="25">
        <f t="shared" si="1"/>
        <v>4</v>
      </c>
      <c r="W24" s="25">
        <f t="shared" si="1"/>
        <v>4</v>
      </c>
      <c r="X24" s="25">
        <f t="shared" si="1"/>
        <v>4</v>
      </c>
      <c r="Y24" s="25">
        <f t="shared" si="1"/>
        <v>4</v>
      </c>
      <c r="Z24" s="25">
        <f t="shared" si="1"/>
        <v>4</v>
      </c>
      <c r="AA24" s="25">
        <f t="shared" si="1"/>
        <v>4</v>
      </c>
      <c r="AB24" s="25">
        <f t="shared" si="1"/>
        <v>5</v>
      </c>
      <c r="AC24" s="25">
        <f t="shared" si="1"/>
        <v>5</v>
      </c>
      <c r="AD24" s="25">
        <f t="shared" si="1"/>
        <v>5</v>
      </c>
      <c r="AE24" s="25">
        <f t="shared" si="1"/>
        <v>5</v>
      </c>
      <c r="AF24" s="25">
        <f t="shared" si="1"/>
        <v>5</v>
      </c>
      <c r="AG24" s="25">
        <f t="shared" si="1"/>
        <v>5</v>
      </c>
      <c r="AH24" s="25">
        <f t="shared" si="1"/>
        <v>5</v>
      </c>
      <c r="AI24" s="25">
        <f t="shared" si="1"/>
        <v>0</v>
      </c>
    </row>
    <row r="25" spans="1:35" x14ac:dyDescent="0.25">
      <c r="A25" s="1" t="s">
        <v>24</v>
      </c>
      <c r="B25" s="1" t="str">
        <f>LEFT(Услуги[[#This Row],[Соц. Услуги]],40)</f>
        <v>24. Гигиеническая стрижка</v>
      </c>
      <c r="D25" s="1" t="s">
        <v>129</v>
      </c>
      <c r="E25" s="25">
        <f t="shared" si="2"/>
        <v>1</v>
      </c>
      <c r="F25" s="25">
        <f t="shared" si="1"/>
        <v>1</v>
      </c>
      <c r="G25" s="25">
        <f t="shared" si="1"/>
        <v>1</v>
      </c>
      <c r="H25" s="25">
        <f t="shared" si="1"/>
        <v>1</v>
      </c>
      <c r="I25" s="25">
        <f t="shared" si="1"/>
        <v>1</v>
      </c>
      <c r="J25" s="25">
        <f t="shared" si="1"/>
        <v>1</v>
      </c>
      <c r="K25" s="25">
        <f t="shared" si="1"/>
        <v>1</v>
      </c>
      <c r="L25" s="25">
        <f t="shared" si="1"/>
        <v>2</v>
      </c>
      <c r="M25" s="25">
        <f t="shared" si="1"/>
        <v>2</v>
      </c>
      <c r="N25" s="25">
        <f t="shared" si="1"/>
        <v>2</v>
      </c>
      <c r="O25" s="25">
        <f t="shared" si="1"/>
        <v>2</v>
      </c>
      <c r="P25" s="25">
        <f t="shared" si="1"/>
        <v>2</v>
      </c>
      <c r="Q25" s="25">
        <f t="shared" si="1"/>
        <v>2</v>
      </c>
      <c r="R25" s="25">
        <f t="shared" si="1"/>
        <v>2</v>
      </c>
      <c r="S25" s="25">
        <f t="shared" si="1"/>
        <v>3</v>
      </c>
      <c r="T25" s="25">
        <f t="shared" si="1"/>
        <v>3</v>
      </c>
      <c r="U25" s="25">
        <f t="shared" si="1"/>
        <v>3</v>
      </c>
      <c r="V25" s="25">
        <f t="shared" si="1"/>
        <v>3</v>
      </c>
      <c r="W25" s="25">
        <f t="shared" si="1"/>
        <v>3</v>
      </c>
      <c r="X25" s="25">
        <f t="shared" si="1"/>
        <v>3</v>
      </c>
      <c r="Y25" s="25">
        <f t="shared" si="1"/>
        <v>3</v>
      </c>
      <c r="Z25" s="25">
        <f t="shared" si="1"/>
        <v>4</v>
      </c>
      <c r="AA25" s="25">
        <f t="shared" si="1"/>
        <v>4</v>
      </c>
      <c r="AB25" s="25">
        <f t="shared" si="1"/>
        <v>4</v>
      </c>
      <c r="AC25" s="25">
        <f t="shared" si="1"/>
        <v>4</v>
      </c>
      <c r="AD25" s="25">
        <f t="shared" si="1"/>
        <v>4</v>
      </c>
      <c r="AE25" s="25">
        <f t="shared" si="1"/>
        <v>4</v>
      </c>
      <c r="AF25" s="25">
        <f t="shared" si="1"/>
        <v>4</v>
      </c>
      <c r="AG25" s="25">
        <f t="shared" si="1"/>
        <v>5</v>
      </c>
      <c r="AH25" s="25">
        <f t="shared" si="1"/>
        <v>5</v>
      </c>
      <c r="AI25" s="25">
        <f t="shared" si="1"/>
        <v>5</v>
      </c>
    </row>
    <row r="26" spans="1:35" x14ac:dyDescent="0.25">
      <c r="A26" s="1" t="s">
        <v>25</v>
      </c>
      <c r="B26" s="1" t="str">
        <f>LEFT(Услуги[[#This Row],[Соц. Услуги]],40)</f>
        <v>25. Смена одежды (обуви)</v>
      </c>
      <c r="D26" s="1" t="s">
        <v>128</v>
      </c>
      <c r="E26" s="25">
        <f t="shared" si="2"/>
        <v>1</v>
      </c>
      <c r="F26" s="25">
        <f t="shared" si="1"/>
        <v>1</v>
      </c>
      <c r="G26" s="25">
        <f t="shared" si="1"/>
        <v>1</v>
      </c>
      <c r="H26" s="25">
        <f t="shared" si="1"/>
        <v>1</v>
      </c>
      <c r="I26" s="25">
        <f t="shared" si="1"/>
        <v>2</v>
      </c>
      <c r="J26" s="25">
        <f t="shared" si="1"/>
        <v>2</v>
      </c>
      <c r="K26" s="25">
        <f t="shared" si="1"/>
        <v>2</v>
      </c>
      <c r="L26" s="25">
        <f t="shared" si="1"/>
        <v>2</v>
      </c>
      <c r="M26" s="25">
        <f t="shared" si="1"/>
        <v>2</v>
      </c>
      <c r="N26" s="25">
        <f t="shared" si="1"/>
        <v>2</v>
      </c>
      <c r="O26" s="25">
        <f t="shared" si="1"/>
        <v>2</v>
      </c>
      <c r="P26" s="25">
        <f t="shared" si="1"/>
        <v>3</v>
      </c>
      <c r="Q26" s="25">
        <f t="shared" si="1"/>
        <v>3</v>
      </c>
      <c r="R26" s="25">
        <f t="shared" si="1"/>
        <v>3</v>
      </c>
      <c r="S26" s="25">
        <f t="shared" si="1"/>
        <v>3</v>
      </c>
      <c r="T26" s="25">
        <f t="shared" si="1"/>
        <v>3</v>
      </c>
      <c r="U26" s="25">
        <f t="shared" si="1"/>
        <v>3</v>
      </c>
      <c r="V26" s="25">
        <f t="shared" si="1"/>
        <v>3</v>
      </c>
      <c r="W26" s="25">
        <f t="shared" si="1"/>
        <v>4</v>
      </c>
      <c r="X26" s="25">
        <f t="shared" si="1"/>
        <v>4</v>
      </c>
      <c r="Y26" s="25">
        <f t="shared" si="1"/>
        <v>4</v>
      </c>
      <c r="Z26" s="25">
        <f t="shared" si="1"/>
        <v>4</v>
      </c>
      <c r="AA26" s="25">
        <f t="shared" si="1"/>
        <v>4</v>
      </c>
      <c r="AB26" s="25">
        <f t="shared" si="1"/>
        <v>4</v>
      </c>
      <c r="AC26" s="25">
        <f t="shared" si="1"/>
        <v>4</v>
      </c>
      <c r="AD26" s="25">
        <f t="shared" si="1"/>
        <v>5</v>
      </c>
      <c r="AE26" s="25">
        <f t="shared" si="1"/>
        <v>5</v>
      </c>
      <c r="AF26" s="25">
        <f t="shared" si="1"/>
        <v>5</v>
      </c>
      <c r="AG26" s="25">
        <f t="shared" si="1"/>
        <v>5</v>
      </c>
      <c r="AH26" s="25">
        <f t="shared" si="1"/>
        <v>5</v>
      </c>
      <c r="AI26" s="25">
        <f t="shared" si="1"/>
        <v>0</v>
      </c>
    </row>
    <row r="27" spans="1:35" x14ac:dyDescent="0.25">
      <c r="A27" s="1" t="s">
        <v>26</v>
      </c>
      <c r="B27" s="1" t="str">
        <f>LEFT(Услуги[[#This Row],[Соц. Услуги]],40)</f>
        <v>26. Помощь при смене одежды (обуви)</v>
      </c>
      <c r="D27" s="1" t="s">
        <v>126</v>
      </c>
      <c r="E27" s="25">
        <f t="shared" si="2"/>
        <v>1</v>
      </c>
      <c r="F27" s="25">
        <f t="shared" si="1"/>
        <v>1</v>
      </c>
      <c r="G27" s="25">
        <f t="shared" si="1"/>
        <v>2</v>
      </c>
      <c r="H27" s="25">
        <f t="shared" si="1"/>
        <v>2</v>
      </c>
      <c r="I27" s="25">
        <f t="shared" si="1"/>
        <v>2</v>
      </c>
      <c r="J27" s="25">
        <f t="shared" si="1"/>
        <v>2</v>
      </c>
      <c r="K27" s="25">
        <f t="shared" si="1"/>
        <v>2</v>
      </c>
      <c r="L27" s="25">
        <f t="shared" si="1"/>
        <v>2</v>
      </c>
      <c r="M27" s="25">
        <f t="shared" si="1"/>
        <v>2</v>
      </c>
      <c r="N27" s="25">
        <f t="shared" si="1"/>
        <v>3</v>
      </c>
      <c r="O27" s="25">
        <f t="shared" si="1"/>
        <v>3</v>
      </c>
      <c r="P27" s="25">
        <f t="shared" si="1"/>
        <v>3</v>
      </c>
      <c r="Q27" s="25">
        <f t="shared" si="1"/>
        <v>3</v>
      </c>
      <c r="R27" s="25">
        <f t="shared" si="1"/>
        <v>3</v>
      </c>
      <c r="S27" s="25">
        <f t="shared" si="1"/>
        <v>3</v>
      </c>
      <c r="T27" s="25">
        <f t="shared" si="1"/>
        <v>3</v>
      </c>
      <c r="U27" s="25">
        <f t="shared" si="1"/>
        <v>4</v>
      </c>
      <c r="V27" s="25">
        <f t="shared" si="1"/>
        <v>4</v>
      </c>
      <c r="W27" s="25">
        <f t="shared" si="1"/>
        <v>4</v>
      </c>
      <c r="X27" s="25">
        <f t="shared" si="1"/>
        <v>4</v>
      </c>
      <c r="Y27" s="25">
        <f t="shared" si="1"/>
        <v>4</v>
      </c>
      <c r="Z27" s="25">
        <f t="shared" si="1"/>
        <v>4</v>
      </c>
      <c r="AA27" s="25">
        <f t="shared" si="1"/>
        <v>4</v>
      </c>
      <c r="AB27" s="25">
        <f t="shared" si="1"/>
        <v>5</v>
      </c>
      <c r="AC27" s="25">
        <f t="shared" si="1"/>
        <v>5</v>
      </c>
      <c r="AD27" s="25">
        <f t="shared" si="1"/>
        <v>5</v>
      </c>
      <c r="AE27" s="25">
        <f t="shared" si="1"/>
        <v>5</v>
      </c>
      <c r="AF27" s="25">
        <f t="shared" si="1"/>
        <v>5</v>
      </c>
      <c r="AG27" s="25">
        <f t="shared" si="1"/>
        <v>5</v>
      </c>
      <c r="AH27" s="25">
        <f t="shared" si="1"/>
        <v>5</v>
      </c>
      <c r="AI27" s="25">
        <f t="shared" si="1"/>
        <v>6</v>
      </c>
    </row>
    <row r="28" spans="1:35" x14ac:dyDescent="0.25">
      <c r="A28" s="1" t="s">
        <v>27</v>
      </c>
      <c r="B28" s="1" t="str">
        <f>LEFT(Услуги[[#This Row],[Соц. Услуги]],40)</f>
        <v>27. Смена нательного белья</v>
      </c>
      <c r="D28" s="1" t="s">
        <v>125</v>
      </c>
      <c r="E28" s="25">
        <f t="shared" si="2"/>
        <v>1</v>
      </c>
      <c r="F28" s="25">
        <f t="shared" si="1"/>
        <v>1</v>
      </c>
      <c r="G28" s="25">
        <f t="shared" si="1"/>
        <v>1</v>
      </c>
      <c r="H28" s="25">
        <f t="shared" si="1"/>
        <v>1</v>
      </c>
      <c r="I28" s="25">
        <f t="shared" si="1"/>
        <v>1</v>
      </c>
      <c r="J28" s="25">
        <f t="shared" si="1"/>
        <v>1</v>
      </c>
      <c r="K28" s="25">
        <f t="shared" si="1"/>
        <v>2</v>
      </c>
      <c r="L28" s="25">
        <f t="shared" si="1"/>
        <v>2</v>
      </c>
      <c r="M28" s="25">
        <f t="shared" si="1"/>
        <v>2</v>
      </c>
      <c r="N28" s="25">
        <f t="shared" si="1"/>
        <v>2</v>
      </c>
      <c r="O28" s="25">
        <f t="shared" si="1"/>
        <v>2</v>
      </c>
      <c r="P28" s="25">
        <f t="shared" si="1"/>
        <v>2</v>
      </c>
      <c r="Q28" s="25">
        <f t="shared" si="1"/>
        <v>2</v>
      </c>
      <c r="R28" s="25">
        <f t="shared" si="1"/>
        <v>3</v>
      </c>
      <c r="S28" s="25">
        <f t="shared" si="1"/>
        <v>3</v>
      </c>
      <c r="T28" s="25">
        <f t="shared" si="1"/>
        <v>3</v>
      </c>
      <c r="U28" s="25">
        <f t="shared" si="1"/>
        <v>3</v>
      </c>
      <c r="V28" s="25">
        <f t="shared" si="1"/>
        <v>3</v>
      </c>
      <c r="W28" s="25">
        <f t="shared" si="1"/>
        <v>3</v>
      </c>
      <c r="X28" s="25">
        <f t="shared" si="1"/>
        <v>3</v>
      </c>
      <c r="Y28" s="25">
        <f t="shared" si="1"/>
        <v>4</v>
      </c>
      <c r="Z28" s="25">
        <f t="shared" si="1"/>
        <v>4</v>
      </c>
      <c r="AA28" s="25">
        <f t="shared" si="1"/>
        <v>4</v>
      </c>
      <c r="AB28" s="25">
        <f t="shared" si="1"/>
        <v>4</v>
      </c>
      <c r="AC28" s="25">
        <f t="shared" si="1"/>
        <v>4</v>
      </c>
      <c r="AD28" s="25">
        <f t="shared" si="1"/>
        <v>4</v>
      </c>
      <c r="AE28" s="25">
        <f t="shared" si="1"/>
        <v>4</v>
      </c>
      <c r="AF28" s="25">
        <f t="shared" si="1"/>
        <v>5</v>
      </c>
      <c r="AG28" s="25">
        <f t="shared" si="1"/>
        <v>5</v>
      </c>
      <c r="AH28" s="25">
        <f t="shared" si="1"/>
        <v>5</v>
      </c>
      <c r="AI28" s="25">
        <f t="shared" si="1"/>
        <v>5</v>
      </c>
    </row>
    <row r="29" spans="1:35" x14ac:dyDescent="0.25">
      <c r="A29" s="1" t="s">
        <v>28</v>
      </c>
      <c r="B29" s="1" t="str">
        <f>LEFT(Услуги[[#This Row],[Соц. Услуги]],40)</f>
        <v>28. Помощь при смене нательного белья</v>
      </c>
      <c r="D29" s="1" t="s">
        <v>122</v>
      </c>
      <c r="E29" s="25">
        <f t="shared" si="2"/>
        <v>1</v>
      </c>
      <c r="F29" s="25">
        <f t="shared" si="1"/>
        <v>1</v>
      </c>
      <c r="G29" s="25">
        <f t="shared" si="1"/>
        <v>1</v>
      </c>
      <c r="H29" s="25">
        <f t="shared" si="1"/>
        <v>2</v>
      </c>
      <c r="I29" s="25">
        <f t="shared" si="1"/>
        <v>2</v>
      </c>
      <c r="J29" s="25">
        <f t="shared" si="1"/>
        <v>2</v>
      </c>
      <c r="K29" s="25">
        <f t="shared" si="1"/>
        <v>2</v>
      </c>
      <c r="L29" s="25">
        <f t="shared" si="1"/>
        <v>2</v>
      </c>
      <c r="M29" s="25">
        <f t="shared" si="1"/>
        <v>2</v>
      </c>
      <c r="N29" s="25">
        <f t="shared" si="1"/>
        <v>2</v>
      </c>
      <c r="O29" s="25">
        <f t="shared" si="1"/>
        <v>3</v>
      </c>
      <c r="P29" s="25">
        <f t="shared" si="1"/>
        <v>3</v>
      </c>
      <c r="Q29" s="25">
        <f t="shared" si="1"/>
        <v>3</v>
      </c>
      <c r="R29" s="25">
        <f t="shared" si="1"/>
        <v>3</v>
      </c>
      <c r="S29" s="25">
        <f t="shared" si="1"/>
        <v>3</v>
      </c>
      <c r="T29" s="25">
        <f t="shared" si="1"/>
        <v>3</v>
      </c>
      <c r="U29" s="25">
        <f t="shared" si="1"/>
        <v>3</v>
      </c>
      <c r="V29" s="25">
        <f t="shared" si="1"/>
        <v>4</v>
      </c>
      <c r="W29" s="25">
        <f t="shared" si="1"/>
        <v>4</v>
      </c>
      <c r="X29" s="25">
        <f t="shared" si="1"/>
        <v>4</v>
      </c>
      <c r="Y29" s="25">
        <f t="shared" si="1"/>
        <v>4</v>
      </c>
      <c r="Z29" s="25">
        <f t="shared" si="1"/>
        <v>4</v>
      </c>
      <c r="AA29" s="25">
        <f t="shared" si="1"/>
        <v>4</v>
      </c>
      <c r="AB29" s="25">
        <f t="shared" si="1"/>
        <v>4</v>
      </c>
      <c r="AC29" s="25">
        <f t="shared" si="1"/>
        <v>5</v>
      </c>
      <c r="AD29" s="25">
        <f t="shared" si="1"/>
        <v>5</v>
      </c>
      <c r="AE29" s="25">
        <f t="shared" si="1"/>
        <v>5</v>
      </c>
      <c r="AF29" s="25">
        <f t="shared" si="1"/>
        <v>5</v>
      </c>
      <c r="AG29" s="25">
        <f t="shared" si="1"/>
        <v>5</v>
      </c>
      <c r="AH29" s="25">
        <f t="shared" si="1"/>
        <v>5</v>
      </c>
      <c r="AI29" s="25">
        <f t="shared" si="1"/>
        <v>0</v>
      </c>
    </row>
    <row r="30" spans="1:35" x14ac:dyDescent="0.25">
      <c r="A30" s="1" t="s">
        <v>29</v>
      </c>
      <c r="B30" s="1" t="str">
        <f>LEFT(Услуги[[#This Row],[Соц. Услуги]],40)</f>
        <v>29. Смена постельного белья</v>
      </c>
      <c r="D30" s="1" t="s">
        <v>124</v>
      </c>
      <c r="E30" s="25">
        <f t="shared" si="2"/>
        <v>1</v>
      </c>
      <c r="F30" s="25">
        <f t="shared" ref="F30:AI32" si="3">IF(F16="",0,ROUNDUP(DAY(F16)/7,0)+(WEEKDAY(F16-DAY(F16)+1,11)&gt;WEEKDAY(F16,11)))</f>
        <v>2</v>
      </c>
      <c r="G30" s="25">
        <f t="shared" si="3"/>
        <v>2</v>
      </c>
      <c r="H30" s="25">
        <f t="shared" si="3"/>
        <v>2</v>
      </c>
      <c r="I30" s="25">
        <f t="shared" si="3"/>
        <v>2</v>
      </c>
      <c r="J30" s="25">
        <f t="shared" si="3"/>
        <v>2</v>
      </c>
      <c r="K30" s="25">
        <f t="shared" si="3"/>
        <v>2</v>
      </c>
      <c r="L30" s="25">
        <f t="shared" si="3"/>
        <v>2</v>
      </c>
      <c r="M30" s="25">
        <f t="shared" si="3"/>
        <v>3</v>
      </c>
      <c r="N30" s="25">
        <f t="shared" si="3"/>
        <v>3</v>
      </c>
      <c r="O30" s="25">
        <f t="shared" si="3"/>
        <v>3</v>
      </c>
      <c r="P30" s="25">
        <f t="shared" si="3"/>
        <v>3</v>
      </c>
      <c r="Q30" s="25">
        <f t="shared" si="3"/>
        <v>3</v>
      </c>
      <c r="R30" s="25">
        <f t="shared" si="3"/>
        <v>3</v>
      </c>
      <c r="S30" s="25">
        <f t="shared" si="3"/>
        <v>3</v>
      </c>
      <c r="T30" s="25">
        <f t="shared" si="3"/>
        <v>4</v>
      </c>
      <c r="U30" s="25">
        <f t="shared" si="3"/>
        <v>4</v>
      </c>
      <c r="V30" s="25">
        <f t="shared" si="3"/>
        <v>4</v>
      </c>
      <c r="W30" s="25">
        <f t="shared" si="3"/>
        <v>4</v>
      </c>
      <c r="X30" s="25">
        <f t="shared" si="3"/>
        <v>4</v>
      </c>
      <c r="Y30" s="25">
        <f t="shared" si="3"/>
        <v>4</v>
      </c>
      <c r="Z30" s="25">
        <f t="shared" si="3"/>
        <v>4</v>
      </c>
      <c r="AA30" s="25">
        <f t="shared" si="3"/>
        <v>5</v>
      </c>
      <c r="AB30" s="25">
        <f t="shared" si="3"/>
        <v>5</v>
      </c>
      <c r="AC30" s="25">
        <f t="shared" si="3"/>
        <v>5</v>
      </c>
      <c r="AD30" s="25">
        <f t="shared" si="3"/>
        <v>5</v>
      </c>
      <c r="AE30" s="25">
        <f t="shared" si="3"/>
        <v>5</v>
      </c>
      <c r="AF30" s="25">
        <f t="shared" si="3"/>
        <v>5</v>
      </c>
      <c r="AG30" s="25">
        <f t="shared" si="3"/>
        <v>5</v>
      </c>
      <c r="AH30" s="25">
        <f t="shared" si="3"/>
        <v>6</v>
      </c>
      <c r="AI30" s="25">
        <f t="shared" si="3"/>
        <v>6</v>
      </c>
    </row>
    <row r="31" spans="1:35" x14ac:dyDescent="0.25">
      <c r="A31" s="1" t="s">
        <v>30</v>
      </c>
      <c r="B31" s="1" t="str">
        <f>LEFT(Услуги[[#This Row],[Соц. Услуги]],40)</f>
        <v>30. Помощь при смене постельного белья</v>
      </c>
      <c r="D31" s="1" t="s">
        <v>134</v>
      </c>
      <c r="E31" s="25">
        <f t="shared" si="2"/>
        <v>1</v>
      </c>
      <c r="F31" s="25">
        <f t="shared" si="3"/>
        <v>1</v>
      </c>
      <c r="G31" s="25">
        <f t="shared" si="3"/>
        <v>1</v>
      </c>
      <c r="H31" s="25">
        <f t="shared" si="3"/>
        <v>1</v>
      </c>
      <c r="I31" s="25">
        <f t="shared" si="3"/>
        <v>1</v>
      </c>
      <c r="J31" s="25">
        <f t="shared" si="3"/>
        <v>2</v>
      </c>
      <c r="K31" s="25">
        <f t="shared" si="3"/>
        <v>2</v>
      </c>
      <c r="L31" s="25">
        <f t="shared" si="3"/>
        <v>2</v>
      </c>
      <c r="M31" s="25">
        <f t="shared" si="3"/>
        <v>2</v>
      </c>
      <c r="N31" s="25">
        <f t="shared" si="3"/>
        <v>2</v>
      </c>
      <c r="O31" s="25">
        <f t="shared" si="3"/>
        <v>2</v>
      </c>
      <c r="P31" s="25">
        <f t="shared" si="3"/>
        <v>2</v>
      </c>
      <c r="Q31" s="25">
        <f t="shared" si="3"/>
        <v>3</v>
      </c>
      <c r="R31" s="25">
        <f t="shared" si="3"/>
        <v>3</v>
      </c>
      <c r="S31" s="25">
        <f t="shared" si="3"/>
        <v>3</v>
      </c>
      <c r="T31" s="25">
        <f t="shared" si="3"/>
        <v>3</v>
      </c>
      <c r="U31" s="25">
        <f t="shared" si="3"/>
        <v>3</v>
      </c>
      <c r="V31" s="25">
        <f t="shared" si="3"/>
        <v>3</v>
      </c>
      <c r="W31" s="25">
        <f t="shared" si="3"/>
        <v>3</v>
      </c>
      <c r="X31" s="25">
        <f t="shared" si="3"/>
        <v>4</v>
      </c>
      <c r="Y31" s="25">
        <f t="shared" si="3"/>
        <v>4</v>
      </c>
      <c r="Z31" s="25">
        <f t="shared" si="3"/>
        <v>4</v>
      </c>
      <c r="AA31" s="25">
        <f t="shared" si="3"/>
        <v>4</v>
      </c>
      <c r="AB31" s="25">
        <f t="shared" si="3"/>
        <v>4</v>
      </c>
      <c r="AC31" s="25">
        <f t="shared" si="3"/>
        <v>4</v>
      </c>
      <c r="AD31" s="25">
        <f t="shared" si="3"/>
        <v>4</v>
      </c>
      <c r="AE31" s="25">
        <f t="shared" si="3"/>
        <v>5</v>
      </c>
      <c r="AF31" s="25">
        <f t="shared" si="3"/>
        <v>5</v>
      </c>
      <c r="AG31" s="25">
        <f t="shared" si="3"/>
        <v>5</v>
      </c>
      <c r="AH31" s="25">
        <f t="shared" si="3"/>
        <v>5</v>
      </c>
      <c r="AI31" s="25">
        <f t="shared" si="3"/>
        <v>0</v>
      </c>
    </row>
    <row r="32" spans="1:35" x14ac:dyDescent="0.25">
      <c r="A32" s="1" t="s">
        <v>31</v>
      </c>
      <c r="B32" s="1" t="str">
        <f>LEFT(Услуги[[#This Row],[Соц. Услуги]],40)</f>
        <v xml:space="preserve">31. Смена абсорбирующего белья, включая </v>
      </c>
      <c r="D32" s="1" t="s">
        <v>135</v>
      </c>
      <c r="E32" s="25">
        <f t="shared" si="2"/>
        <v>1</v>
      </c>
      <c r="F32" s="25">
        <f t="shared" si="3"/>
        <v>1</v>
      </c>
      <c r="G32" s="25">
        <f t="shared" si="3"/>
        <v>1</v>
      </c>
      <c r="H32" s="25">
        <f t="shared" si="3"/>
        <v>2</v>
      </c>
      <c r="I32" s="25">
        <f t="shared" si="3"/>
        <v>2</v>
      </c>
      <c r="J32" s="25">
        <f t="shared" si="3"/>
        <v>2</v>
      </c>
      <c r="K32" s="25">
        <f t="shared" si="3"/>
        <v>2</v>
      </c>
      <c r="L32" s="25">
        <f t="shared" si="3"/>
        <v>2</v>
      </c>
      <c r="M32" s="25">
        <f t="shared" si="3"/>
        <v>2</v>
      </c>
      <c r="N32" s="25">
        <f t="shared" si="3"/>
        <v>2</v>
      </c>
      <c r="O32" s="25">
        <f t="shared" si="3"/>
        <v>3</v>
      </c>
      <c r="P32" s="25">
        <f t="shared" si="3"/>
        <v>3</v>
      </c>
      <c r="Q32" s="25">
        <f t="shared" si="3"/>
        <v>3</v>
      </c>
      <c r="R32" s="25">
        <f t="shared" si="3"/>
        <v>3</v>
      </c>
      <c r="S32" s="25">
        <f t="shared" si="3"/>
        <v>3</v>
      </c>
      <c r="T32" s="25">
        <f t="shared" si="3"/>
        <v>3</v>
      </c>
      <c r="U32" s="25">
        <f t="shared" si="3"/>
        <v>3</v>
      </c>
      <c r="V32" s="25">
        <f t="shared" si="3"/>
        <v>4</v>
      </c>
      <c r="W32" s="25">
        <f t="shared" si="3"/>
        <v>4</v>
      </c>
      <c r="X32" s="25">
        <f t="shared" si="3"/>
        <v>4</v>
      </c>
      <c r="Y32" s="25">
        <f t="shared" si="3"/>
        <v>4</v>
      </c>
      <c r="Z32" s="25">
        <f t="shared" si="3"/>
        <v>4</v>
      </c>
      <c r="AA32" s="25">
        <f t="shared" si="3"/>
        <v>4</v>
      </c>
      <c r="AB32" s="25">
        <f t="shared" si="3"/>
        <v>4</v>
      </c>
      <c r="AC32" s="25">
        <f t="shared" si="3"/>
        <v>5</v>
      </c>
      <c r="AD32" s="25">
        <f t="shared" si="3"/>
        <v>5</v>
      </c>
      <c r="AE32" s="25">
        <f t="shared" si="3"/>
        <v>5</v>
      </c>
      <c r="AF32" s="25">
        <f t="shared" si="3"/>
        <v>5</v>
      </c>
      <c r="AG32" s="25">
        <f t="shared" si="3"/>
        <v>5</v>
      </c>
      <c r="AH32" s="25">
        <f t="shared" si="3"/>
        <v>5</v>
      </c>
      <c r="AI32" s="25">
        <f t="shared" si="3"/>
        <v>5</v>
      </c>
    </row>
    <row r="33" spans="1:36" x14ac:dyDescent="0.25">
      <c r="A33" s="1" t="s">
        <v>32</v>
      </c>
      <c r="B33" s="1" t="str">
        <f>LEFT(Услуги[[#This Row],[Соц. Услуги]],40)</f>
        <v>32. Помощь при смене абсорбирующего бель</v>
      </c>
    </row>
    <row r="34" spans="1:36" x14ac:dyDescent="0.25">
      <c r="A34" s="1" t="s">
        <v>33</v>
      </c>
      <c r="B34" s="1" t="str">
        <f>LEFT(Услуги[[#This Row],[Соц. Услуги]],40)</f>
        <v>33. Помощь при пользовании туалетом (ины</v>
      </c>
    </row>
    <row r="35" spans="1:36" x14ac:dyDescent="0.25">
      <c r="A35" s="1" t="s">
        <v>34</v>
      </c>
      <c r="B35" s="1" t="str">
        <f>LEFT(Услуги[[#This Row],[Соц. Услуги]],40)</f>
        <v>34. Замена мочеприемника и (или) калопри</v>
      </c>
    </row>
    <row r="36" spans="1:36" x14ac:dyDescent="0.25">
      <c r="A36" s="1" t="s">
        <v>35</v>
      </c>
      <c r="B36" s="1" t="str">
        <f>LEFT(Услуги[[#This Row],[Соц. Услуги]],40)</f>
        <v>35. Помощь при замене мочеприемника и (и</v>
      </c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1" t="s">
        <v>36</v>
      </c>
      <c r="B37" s="1" t="str">
        <f>LEFT(Услуги[[#This Row],[Соц. Услуги]],40)</f>
        <v>36. Позиционирование</v>
      </c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</row>
    <row r="38" spans="1:36" x14ac:dyDescent="0.25">
      <c r="A38" s="1" t="s">
        <v>37</v>
      </c>
      <c r="B38" s="1" t="str">
        <f>LEFT(Услуги[[#This Row],[Соц. Услуги]],40)</f>
        <v>37. Помощь при позиционировании</v>
      </c>
    </row>
    <row r="39" spans="1:36" x14ac:dyDescent="0.25">
      <c r="A39" s="1" t="s">
        <v>38</v>
      </c>
      <c r="B39" s="1" t="str">
        <f>LEFT(Услуги[[#This Row],[Соц. Услуги]],40)</f>
        <v>38. Пересаживание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1" t="s">
        <v>39</v>
      </c>
      <c r="B40" s="1" t="str">
        <f>LEFT(Услуги[[#This Row],[Соц. Услуги]],40)</f>
        <v>39. Помощь при пересаживании.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</row>
    <row r="41" spans="1:36" x14ac:dyDescent="0.25">
      <c r="A41" s="1" t="s">
        <v>40</v>
      </c>
      <c r="B41" s="1" t="str">
        <f>LEFT(Услуги[[#This Row],[Соц. Услуги]],40)</f>
        <v>40. Помощь при передвижении по помещению</v>
      </c>
    </row>
    <row r="42" spans="1:36" x14ac:dyDescent="0.25">
      <c r="A42" s="1" t="s">
        <v>41</v>
      </c>
      <c r="B42" s="1" t="str">
        <f>LEFT(Услуги[[#This Row],[Соц. Услуги]],40)</f>
        <v>41. Измерение температуры тела, артериал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1" t="s">
        <v>42</v>
      </c>
      <c r="B43" s="1" t="str">
        <f>LEFT(Услуги[[#This Row],[Соц. Услуги]],40)</f>
        <v>42. Помощь в соблюдении медицинских реко</v>
      </c>
    </row>
    <row r="44" spans="1:36" x14ac:dyDescent="0.25">
      <c r="A44" s="1" t="s">
        <v>43</v>
      </c>
      <c r="B44" s="1" t="str">
        <f>LEFT(Услуги[[#This Row],[Соц. Услуги]],40)</f>
        <v xml:space="preserve">43. Подготовка лекарственных препаратов </v>
      </c>
    </row>
    <row r="45" spans="1:36" x14ac:dyDescent="0.25">
      <c r="A45" s="1" t="s">
        <v>44</v>
      </c>
      <c r="B45" s="1" t="str">
        <f>LEFT(Услуги[[#This Row],[Соц. Услуги]],40)</f>
        <v>44. Помощь в соблюдении приема лекарстве</v>
      </c>
    </row>
    <row r="46" spans="1:36" x14ac:dyDescent="0.25">
      <c r="A46" s="1" t="s">
        <v>45</v>
      </c>
      <c r="B46" s="1" t="str">
        <f>LEFT(Услуги[[#This Row],[Соц. Услуги]],40)</f>
        <v>45. Помощь в использовании очков и (или)</v>
      </c>
    </row>
    <row r="47" spans="1:36" x14ac:dyDescent="0.25">
      <c r="A47" s="1" t="s">
        <v>46</v>
      </c>
      <c r="B47" s="1" t="str">
        <f>LEFT(Услуги[[#This Row],[Соц. Услуги]],40)</f>
        <v xml:space="preserve">46. Помощь в использовании протезов или </v>
      </c>
    </row>
    <row r="48" spans="1:36" x14ac:dyDescent="0.25">
      <c r="A48" s="1" t="s">
        <v>47</v>
      </c>
      <c r="B48" s="1" t="str">
        <f>LEFT(Услуги[[#This Row],[Соц. Услуги]],40)</f>
        <v>47. Помощь в поддержании посильной социа</v>
      </c>
    </row>
    <row r="49" spans="1:2" x14ac:dyDescent="0.25">
      <c r="A49" s="1" t="s">
        <v>48</v>
      </c>
      <c r="B49" s="1" t="str">
        <f>LEFT(Услуги[[#This Row],[Соц. Услуги]],40)</f>
        <v>48. Помощь в поддержании  посильной физи</v>
      </c>
    </row>
    <row r="50" spans="1:2" x14ac:dyDescent="0.25">
      <c r="A50" s="1" t="s">
        <v>49</v>
      </c>
      <c r="B50" s="1" t="str">
        <f>LEFT(Услуги[[#This Row],[Соц. Услуги]],40)</f>
        <v>49. Помощь в поддержании посильной бытов</v>
      </c>
    </row>
    <row r="51" spans="1:2" x14ac:dyDescent="0.25">
      <c r="A51" s="1" t="s">
        <v>50</v>
      </c>
      <c r="B51" s="1" t="str">
        <f>LEFT(Услуги[[#This Row],[Соц. Услуги]],40)</f>
        <v>50. Помощь в поддержании когнитивных фун</v>
      </c>
    </row>
  </sheetData>
  <pageMargins left="0.7" right="0.7" top="0.75" bottom="0.75" header="0.3" footer="0.3"/>
  <pageSetup paperSize="9"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105"/>
  <sheetViews>
    <sheetView tabSelected="1" zoomScale="80" zoomScaleNormal="80" workbookViewId="0">
      <selection activeCell="B5" sqref="B5"/>
    </sheetView>
  </sheetViews>
  <sheetFormatPr defaultRowHeight="15.75" x14ac:dyDescent="0.25"/>
  <cols>
    <col min="1" max="1" width="21.42578125" style="3" customWidth="1"/>
    <col min="2" max="2" width="14.140625" style="3" customWidth="1"/>
    <col min="3" max="3" width="17.5703125" style="3" customWidth="1"/>
    <col min="4" max="4" width="9.28515625" style="3" customWidth="1"/>
    <col min="5" max="5" width="11.28515625" style="3" bestFit="1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7" ht="18.75" x14ac:dyDescent="0.25">
      <c r="A2" s="60" t="s">
        <v>72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</row>
    <row r="3" spans="1:37" ht="18.75" x14ac:dyDescent="0.25">
      <c r="A3" s="60" t="s">
        <v>73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</row>
    <row r="4" spans="1:37" ht="18.75" x14ac:dyDescent="0.25">
      <c r="I4" s="13"/>
      <c r="J4" s="61" t="s">
        <v>74</v>
      </c>
      <c r="K4" s="61"/>
      <c r="L4" s="61"/>
      <c r="M4" s="62"/>
      <c r="N4" s="54"/>
      <c r="O4" s="54"/>
      <c r="P4" s="54"/>
      <c r="Q4" s="54"/>
      <c r="R4" s="54"/>
      <c r="S4" s="54"/>
      <c r="T4" s="54"/>
      <c r="U4" s="54"/>
    </row>
    <row r="5" spans="1:37" ht="18.75" x14ac:dyDescent="0.25">
      <c r="C5" s="17"/>
      <c r="L5" s="12" t="s">
        <v>75</v>
      </c>
      <c r="M5" s="63" t="s">
        <v>76</v>
      </c>
      <c r="N5" s="64"/>
      <c r="O5" s="64"/>
      <c r="P5" s="64"/>
      <c r="Q5" s="64"/>
      <c r="R5" s="37">
        <f>Год[Год]</f>
        <v>2023</v>
      </c>
      <c r="S5" s="38" t="s">
        <v>138</v>
      </c>
      <c r="T5" s="14"/>
      <c r="U5" s="14"/>
    </row>
    <row r="6" spans="1:37" ht="18.75" x14ac:dyDescent="0.25">
      <c r="C6" s="17"/>
      <c r="L6" s="12"/>
      <c r="M6" s="22"/>
      <c r="N6" s="33"/>
      <c r="O6" s="33"/>
      <c r="P6" s="33"/>
      <c r="Q6" s="33"/>
      <c r="R6" s="22"/>
      <c r="S6" s="33"/>
      <c r="T6" s="14"/>
      <c r="U6" s="14"/>
    </row>
    <row r="7" spans="1:37" ht="26.25" customHeight="1" x14ac:dyDescent="0.25">
      <c r="A7" s="49"/>
      <c r="B7" s="57" t="s">
        <v>121</v>
      </c>
      <c r="C7" s="57" t="s">
        <v>120</v>
      </c>
      <c r="D7" s="58" t="s">
        <v>67</v>
      </c>
      <c r="E7" s="43" t="s">
        <v>55</v>
      </c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45"/>
      <c r="AI7" s="39" t="s">
        <v>70</v>
      </c>
      <c r="AJ7" s="39" t="s">
        <v>70</v>
      </c>
      <c r="AK7" s="4"/>
    </row>
    <row r="8" spans="1:37" ht="15.75" customHeight="1" x14ac:dyDescent="0.25">
      <c r="A8" s="49"/>
      <c r="B8" s="52"/>
      <c r="C8" s="52"/>
      <c r="D8" s="59"/>
      <c r="E8" s="53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5"/>
      <c r="AI8" s="39"/>
      <c r="AJ8" s="39"/>
      <c r="AK8" s="4"/>
    </row>
    <row r="9" spans="1:37" x14ac:dyDescent="0.25">
      <c r="A9" s="49"/>
      <c r="B9" s="52"/>
      <c r="C9" s="52"/>
      <c r="D9" s="59"/>
      <c r="E9" s="23">
        <f>Настройки!E15</f>
        <v>45170</v>
      </c>
      <c r="F9" s="23">
        <f>Настройки!F15</f>
        <v>45171</v>
      </c>
      <c r="G9" s="23">
        <f>Настройки!G15</f>
        <v>45172</v>
      </c>
      <c r="H9" s="23">
        <f>Настройки!H15</f>
        <v>45173</v>
      </c>
      <c r="I9" s="23">
        <f>Настройки!I15</f>
        <v>45174</v>
      </c>
      <c r="J9" s="23">
        <f>Настройки!J15</f>
        <v>45175</v>
      </c>
      <c r="K9" s="23">
        <f>Настройки!K15</f>
        <v>45176</v>
      </c>
      <c r="L9" s="23">
        <f>Настройки!L15</f>
        <v>45177</v>
      </c>
      <c r="M9" s="23">
        <f>Настройки!M15</f>
        <v>45178</v>
      </c>
      <c r="N9" s="23">
        <f>Настройки!N15</f>
        <v>45179</v>
      </c>
      <c r="O9" s="23">
        <f>Настройки!O15</f>
        <v>45180</v>
      </c>
      <c r="P9" s="23">
        <f>Настройки!P15</f>
        <v>45181</v>
      </c>
      <c r="Q9" s="23">
        <f>Настройки!Q15</f>
        <v>45182</v>
      </c>
      <c r="R9" s="23">
        <f>Настройки!R15</f>
        <v>45183</v>
      </c>
      <c r="S9" s="23">
        <f>Настройки!S15</f>
        <v>45184</v>
      </c>
      <c r="T9" s="23">
        <f>Настройки!T15</f>
        <v>45185</v>
      </c>
      <c r="U9" s="23">
        <f>Настройки!U15</f>
        <v>45186</v>
      </c>
      <c r="V9" s="23">
        <f>Настройки!V15</f>
        <v>45187</v>
      </c>
      <c r="W9" s="23">
        <f>Настройки!W15</f>
        <v>45188</v>
      </c>
      <c r="X9" s="23">
        <f>Настройки!X15</f>
        <v>45189</v>
      </c>
      <c r="Y9" s="23">
        <f>Настройки!Y15</f>
        <v>45190</v>
      </c>
      <c r="Z9" s="23">
        <f>Настройки!Z15</f>
        <v>45191</v>
      </c>
      <c r="AA9" s="23">
        <f>Настройки!AA15</f>
        <v>45192</v>
      </c>
      <c r="AB9" s="23">
        <f>Настройки!AB15</f>
        <v>45193</v>
      </c>
      <c r="AC9" s="23">
        <f>Настройки!AC15</f>
        <v>45194</v>
      </c>
      <c r="AD9" s="23">
        <f>Настройки!AD15</f>
        <v>45195</v>
      </c>
      <c r="AE9" s="23">
        <f>Настройки!AE15</f>
        <v>45196</v>
      </c>
      <c r="AF9" s="23">
        <f>Настройки!AF15</f>
        <v>45197</v>
      </c>
      <c r="AG9" s="23">
        <f>Настройки!AG15</f>
        <v>45198</v>
      </c>
      <c r="AH9" s="23">
        <f>Настройки!AH15</f>
        <v>45199</v>
      </c>
      <c r="AI9" s="39"/>
      <c r="AJ9" s="39"/>
      <c r="AK9" s="4"/>
    </row>
    <row r="10" spans="1:37" ht="15.75" customHeight="1" x14ac:dyDescent="0.25">
      <c r="A10" s="49"/>
      <c r="B10" s="52"/>
      <c r="C10" s="52"/>
      <c r="D10" s="59"/>
      <c r="E10" s="43" t="s">
        <v>54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69"/>
      <c r="AI10" s="39"/>
      <c r="AJ10" s="39"/>
      <c r="AK10" s="4"/>
    </row>
    <row r="11" spans="1:37" x14ac:dyDescent="0.25">
      <c r="A11" s="57"/>
      <c r="B11" s="52"/>
      <c r="C11" s="52"/>
      <c r="D11" s="59"/>
      <c r="E11" s="46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8"/>
      <c r="AI11" s="39"/>
      <c r="AJ11" s="39"/>
    </row>
    <row r="12" spans="1:37" ht="22.5" customHeight="1" x14ac:dyDescent="0.25">
      <c r="A12" s="3" t="s">
        <v>88</v>
      </c>
      <c r="B12" s="3" t="s">
        <v>87</v>
      </c>
      <c r="C12" s="3" t="s">
        <v>119</v>
      </c>
      <c r="D12" s="9" t="s">
        <v>66</v>
      </c>
      <c r="E12" s="15" t="s">
        <v>89</v>
      </c>
      <c r="F12" s="15" t="s">
        <v>90</v>
      </c>
      <c r="G12" s="15" t="s">
        <v>91</v>
      </c>
      <c r="H12" s="15" t="s">
        <v>92</v>
      </c>
      <c r="I12" s="15" t="s">
        <v>93</v>
      </c>
      <c r="J12" s="15" t="s">
        <v>94</v>
      </c>
      <c r="K12" s="15" t="s">
        <v>95</v>
      </c>
      <c r="L12" s="15" t="s">
        <v>96</v>
      </c>
      <c r="M12" s="15" t="s">
        <v>97</v>
      </c>
      <c r="N12" s="15" t="s">
        <v>98</v>
      </c>
      <c r="O12" s="15" t="s">
        <v>99</v>
      </c>
      <c r="P12" s="15" t="s">
        <v>100</v>
      </c>
      <c r="Q12" s="15" t="s">
        <v>101</v>
      </c>
      <c r="R12" s="15" t="s">
        <v>102</v>
      </c>
      <c r="S12" s="15" t="s">
        <v>103</v>
      </c>
      <c r="T12" s="15" t="s">
        <v>104</v>
      </c>
      <c r="U12" s="15" t="s">
        <v>105</v>
      </c>
      <c r="V12" s="15" t="s">
        <v>106</v>
      </c>
      <c r="W12" s="15" t="s">
        <v>107</v>
      </c>
      <c r="X12" s="15" t="s">
        <v>108</v>
      </c>
      <c r="Y12" s="15" t="s">
        <v>109</v>
      </c>
      <c r="Z12" s="15" t="s">
        <v>110</v>
      </c>
      <c r="AA12" s="15" t="s">
        <v>111</v>
      </c>
      <c r="AB12" s="15" t="s">
        <v>112</v>
      </c>
      <c r="AC12" s="15" t="s">
        <v>113</v>
      </c>
      <c r="AD12" s="15" t="s">
        <v>114</v>
      </c>
      <c r="AE12" s="15" t="s">
        <v>115</v>
      </c>
      <c r="AF12" s="15" t="s">
        <v>116</v>
      </c>
      <c r="AG12" s="15" t="s">
        <v>117</v>
      </c>
      <c r="AH12" s="15" t="s">
        <v>118</v>
      </c>
      <c r="AI12" s="3" t="s">
        <v>68</v>
      </c>
      <c r="AJ12" s="3" t="s">
        <v>69</v>
      </c>
    </row>
    <row r="13" spans="1:37" ht="22.5" customHeight="1" x14ac:dyDescent="0.25">
      <c r="A13" s="5" t="s">
        <v>62</v>
      </c>
      <c r="B13" s="3">
        <f>SUMPRODUCT((Настройки!$E$29:$AH$29=1)*E16:AH16)</f>
        <v>378</v>
      </c>
      <c r="C13" s="15"/>
      <c r="D13" s="5">
        <v>1</v>
      </c>
      <c r="E13" s="3">
        <f>SUMPRODUCT((Сентябрь[№]=1)*Сентябрь[1],Сентябрь[Периодичность])</f>
        <v>212</v>
      </c>
      <c r="F13" s="30">
        <f>SUMPRODUCT((Сентябрь[№]=1)*Сентябрь[2],Сентябрь[Периодичность])</f>
        <v>0</v>
      </c>
      <c r="G13" s="30">
        <f>SUMPRODUCT((Сентябрь[№]=1)*Сентябрь[3],Сентябрь[Периодичность])</f>
        <v>0</v>
      </c>
      <c r="H13" s="30">
        <f>SUMPRODUCT((Сентябрь[№]=1)*Сентябрь[4],Сентябрь[Периодичность])</f>
        <v>212</v>
      </c>
      <c r="I13" s="30">
        <f>SUMPRODUCT((Сентябрь[№]=1)*Сентябрь[5],Сентябрь[Периодичность])</f>
        <v>130</v>
      </c>
      <c r="J13" s="30">
        <f>SUMPRODUCT((Сентябрь[№]=1)*Сентябрь[6],Сентябрь[Периодичность])</f>
        <v>212</v>
      </c>
      <c r="K13" s="30">
        <f>SUMPRODUCT((Сентябрь[№]=1)*Сентябрь[7],Сентябрь[Периодичность])</f>
        <v>130</v>
      </c>
      <c r="L13" s="30">
        <f>SUMPRODUCT((Сентябрь[№]=1)*Сентябрь[8],Сентябрь[Периодичность])</f>
        <v>212</v>
      </c>
      <c r="M13" s="30">
        <f>SUMPRODUCT((Сентябрь[№]=1)*Сентябрь[9],Сентябрь[Периодичность])</f>
        <v>0</v>
      </c>
      <c r="N13" s="30">
        <f>SUMPRODUCT((Сентябрь[№]=1)*Сентябрь[10],Сентябрь[Периодичность])</f>
        <v>0</v>
      </c>
      <c r="O13" s="30">
        <f>SUMPRODUCT((Сентябрь[№]=1)*Сентябрь[11],Сентябрь[Периодичность])</f>
        <v>212</v>
      </c>
      <c r="P13" s="30">
        <f>SUMPRODUCT((Сентябрь[№]=1)*Сентябрь[12],Сентябрь[Периодичность])</f>
        <v>130</v>
      </c>
      <c r="Q13" s="30">
        <f>SUMPRODUCT((Сентябрь[№]=1)*Сентябрь[13],Сентябрь[Периодичность])</f>
        <v>212</v>
      </c>
      <c r="R13" s="30">
        <f>SUMPRODUCT((Сентябрь[№]=1)*Сентябрь[14],Сентябрь[Периодичность])</f>
        <v>130</v>
      </c>
      <c r="S13" s="30">
        <f>SUMPRODUCT((Сентябрь[№]=1)*Сентябрь[15],Сентябрь[Периодичность])</f>
        <v>212</v>
      </c>
      <c r="T13" s="30">
        <f>SUMPRODUCT((Сентябрь[№]=1)*Сентябрь[16],Сентябрь[Периодичность])</f>
        <v>0</v>
      </c>
      <c r="U13" s="30">
        <f>SUMPRODUCT((Сентябрь[№]=1)*Сентябрь[17],Сентябрь[Периодичность])</f>
        <v>0</v>
      </c>
      <c r="V13" s="30">
        <f>SUMPRODUCT((Сентябрь[№]=1)*Сентябрь[18],Сентябрь[Периодичность])</f>
        <v>212</v>
      </c>
      <c r="W13" s="30">
        <f>SUMPRODUCT((Сентябрь[№]=1)*Сентябрь[19],Сентябрь[Периодичность])</f>
        <v>130</v>
      </c>
      <c r="X13" s="30">
        <f>SUMPRODUCT((Сентябрь[№]=1)*Сентябрь[20],Сентябрь[Периодичность])</f>
        <v>212</v>
      </c>
      <c r="Y13" s="30">
        <f>SUMPRODUCT((Сентябрь[№]=1)*Сентябрь[21],Сентябрь[Периодичность])</f>
        <v>130</v>
      </c>
      <c r="Z13" s="30">
        <f>SUMPRODUCT((Сентябрь[№]=1)*Сентябрь[22],Сентябрь[Периодичность])</f>
        <v>212</v>
      </c>
      <c r="AA13" s="30">
        <f>SUMPRODUCT((Сентябрь[№]=1)*Сентябрь[23],Сентябрь[Периодичность])</f>
        <v>0</v>
      </c>
      <c r="AB13" s="30">
        <f>SUMPRODUCT((Сентябрь[№]=1)*Сентябрь[24],Сентябрь[Периодичность])</f>
        <v>0</v>
      </c>
      <c r="AC13" s="30">
        <f>SUMPRODUCT((Сентябрь[№]=1)*Сентябрь[25],Сентябрь[Периодичность])</f>
        <v>212</v>
      </c>
      <c r="AD13" s="30">
        <f>SUMPRODUCT((Сентябрь[№]=1)*Сентябрь[26],Сентябрь[Периодичность])</f>
        <v>130</v>
      </c>
      <c r="AE13" s="30">
        <f>SUMPRODUCT((Сентябрь[№]=1)*Сентябрь[27],Сентябрь[Периодичность])</f>
        <v>212</v>
      </c>
      <c r="AF13" s="30">
        <f>SUMPRODUCT((Сентябрь[№]=1)*Сентябрь[28],Сентябрь[Периодичность])</f>
        <v>130</v>
      </c>
      <c r="AG13" s="30">
        <f>SUMPRODUCT((Сентябрь[№]=1)*Сентябрь[29],Сентябрь[Периодичность])</f>
        <v>212</v>
      </c>
      <c r="AH13" s="30">
        <f>SUMPRODUCT((Сентябрь[№]=1)*Сентябрь[30],Сентябрь[Периодичность])</f>
        <v>0</v>
      </c>
    </row>
    <row r="14" spans="1:37" ht="20.25" customHeight="1" x14ac:dyDescent="0.25">
      <c r="B14" s="3">
        <f>SUMPRODUCT((Настройки!$E$29:$AH$29=2)*E16:AH16)</f>
        <v>1655</v>
      </c>
      <c r="D14" s="5">
        <v>2</v>
      </c>
      <c r="E14" s="3">
        <f>SUMPRODUCT((Сентябрь[№]=2)*Сентябрь[1],Сентябрь[Периодичность])</f>
        <v>53</v>
      </c>
      <c r="F14" s="30">
        <f>SUMPRODUCT((Сентябрь[№]=2)*Сентябрь[2],Сентябрь[Периодичность])</f>
        <v>0</v>
      </c>
      <c r="G14" s="30">
        <f>SUMPRODUCT((Сентябрь[№]=2)*Сентябрь[3],Сентябрь[Периодичность])</f>
        <v>0</v>
      </c>
      <c r="H14" s="30">
        <f>SUMPRODUCT((Сентябрь[№]=2)*Сентябрь[4],Сентябрь[Периодичность])</f>
        <v>53</v>
      </c>
      <c r="I14" s="30">
        <f>SUMPRODUCT((Сентябрь[№]=2)*Сентябрь[5],Сентябрь[Периодичность])</f>
        <v>53</v>
      </c>
      <c r="J14" s="30">
        <f>SUMPRODUCT((Сентябрь[№]=2)*Сентябрь[6],Сентябрь[Периодичность])</f>
        <v>53</v>
      </c>
      <c r="K14" s="30">
        <f>SUMPRODUCT((Сентябрь[№]=2)*Сентябрь[7],Сентябрь[Периодичность])</f>
        <v>53</v>
      </c>
      <c r="L14" s="30">
        <f>SUMPRODUCT((Сентябрь[№]=2)*Сентябрь[8],Сентябрь[Периодичность])</f>
        <v>53</v>
      </c>
      <c r="M14" s="30">
        <f>SUMPRODUCT((Сентябрь[№]=2)*Сентябрь[9],Сентябрь[Периодичность])</f>
        <v>0</v>
      </c>
      <c r="N14" s="30">
        <f>SUMPRODUCT((Сентябрь[№]=2)*Сентябрь[10],Сентябрь[Периодичность])</f>
        <v>0</v>
      </c>
      <c r="O14" s="30">
        <f>SUMPRODUCT((Сентябрь[№]=2)*Сентябрь[11],Сентябрь[Периодичность])</f>
        <v>53</v>
      </c>
      <c r="P14" s="30">
        <f>SUMPRODUCT((Сентябрь[№]=2)*Сентябрь[12],Сентябрь[Периодичность])</f>
        <v>53</v>
      </c>
      <c r="Q14" s="30">
        <f>SUMPRODUCT((Сентябрь[№]=2)*Сентябрь[13],Сентябрь[Периодичность])</f>
        <v>53</v>
      </c>
      <c r="R14" s="30">
        <f>SUMPRODUCT((Сентябрь[№]=2)*Сентябрь[14],Сентябрь[Периодичность])</f>
        <v>53</v>
      </c>
      <c r="S14" s="30">
        <f>SUMPRODUCT((Сентябрь[№]=2)*Сентябрь[15],Сентябрь[Периодичность])</f>
        <v>53</v>
      </c>
      <c r="T14" s="30">
        <f>SUMPRODUCT((Сентябрь[№]=2)*Сентябрь[16],Сентябрь[Периодичность])</f>
        <v>0</v>
      </c>
      <c r="U14" s="30">
        <f>SUMPRODUCT((Сентябрь[№]=2)*Сентябрь[17],Сентябрь[Периодичность])</f>
        <v>0</v>
      </c>
      <c r="V14" s="30">
        <f>SUMPRODUCT((Сентябрь[№]=2)*Сентябрь[18],Сентябрь[Периодичность])</f>
        <v>53</v>
      </c>
      <c r="W14" s="30">
        <f>SUMPRODUCT((Сентябрь[№]=2)*Сентябрь[19],Сентябрь[Периодичность])</f>
        <v>53</v>
      </c>
      <c r="X14" s="30">
        <f>SUMPRODUCT((Сентябрь[№]=2)*Сентябрь[20],Сентябрь[Периодичность])</f>
        <v>53</v>
      </c>
      <c r="Y14" s="30">
        <f>SUMPRODUCT((Сентябрь[№]=2)*Сентябрь[21],Сентябрь[Периодичность])</f>
        <v>53</v>
      </c>
      <c r="Z14" s="30">
        <f>SUMPRODUCT((Сентябрь[№]=2)*Сентябрь[22],Сентябрь[Периодичность])</f>
        <v>53</v>
      </c>
      <c r="AA14" s="30">
        <f>SUMPRODUCT((Сентябрь[№]=2)*Сентябрь[23],Сентябрь[Периодичность])</f>
        <v>0</v>
      </c>
      <c r="AB14" s="30">
        <f>SUMPRODUCT((Сентябрь[№]=2)*Сентябрь[24],Сентябрь[Периодичность])</f>
        <v>0</v>
      </c>
      <c r="AC14" s="30">
        <f>SUMPRODUCT((Сентябрь[№]=2)*Сентябрь[25],Сентябрь[Периодичность])</f>
        <v>53</v>
      </c>
      <c r="AD14" s="30">
        <f>SUMPRODUCT((Сентябрь[№]=2)*Сентябрь[26],Сентябрь[Периодичность])</f>
        <v>53</v>
      </c>
      <c r="AE14" s="30">
        <f>SUMPRODUCT((Сентябрь[№]=2)*Сентябрь[27],Сентябрь[Периодичность])</f>
        <v>53</v>
      </c>
      <c r="AF14" s="30">
        <f>SUMPRODUCT((Сентябрь[№]=2)*Сентябрь[28],Сентябрь[Периодичность])</f>
        <v>53</v>
      </c>
      <c r="AG14" s="30">
        <f>SUMPRODUCT((Сентябрь[№]=2)*Сентябрь[29],Сентябрь[Периодичность])</f>
        <v>53</v>
      </c>
      <c r="AH14" s="30">
        <f>SUMPRODUCT((Сентябрь[№]=2)*Сентябрь[30],Сентябрь[Периодичность])</f>
        <v>0</v>
      </c>
    </row>
    <row r="15" spans="1:37" ht="22.5" customHeight="1" x14ac:dyDescent="0.25">
      <c r="B15" s="3">
        <f>SUMPRODUCT((Настройки!$E$29:$AH$29=3)*E16:AH16)</f>
        <v>1655</v>
      </c>
      <c r="D15" s="5">
        <v>3</v>
      </c>
      <c r="E15" s="3">
        <f>SUMPRODUCT((Сентябрь[№]=3)*Сентябрь[1],Сентябрь[Периодичность])</f>
        <v>113</v>
      </c>
      <c r="F15" s="30">
        <f>SUMPRODUCT((Сентябрь[№]=3)*Сентябрь[2],Сентябрь[Периодичность])</f>
        <v>0</v>
      </c>
      <c r="G15" s="30">
        <f>SUMPRODUCT((Сентябрь[№]=3)*Сентябрь[3],Сентябрь[Периодичность])</f>
        <v>0</v>
      </c>
      <c r="H15" s="30">
        <f>SUMPRODUCT((Сентябрь[№]=3)*Сентябрь[4],Сентябрь[Периодичность])</f>
        <v>68</v>
      </c>
      <c r="I15" s="30">
        <f>SUMPRODUCT((Сентябрь[№]=3)*Сентябрь[5],Сентябрь[Периодичность])</f>
        <v>113</v>
      </c>
      <c r="J15" s="30">
        <f>SUMPRODUCT((Сентябрь[№]=3)*Сентябрь[6],Сентябрь[Периодичность])</f>
        <v>68</v>
      </c>
      <c r="K15" s="30">
        <f>SUMPRODUCT((Сентябрь[№]=3)*Сентябрь[7],Сентябрь[Периодичность])</f>
        <v>132</v>
      </c>
      <c r="L15" s="30">
        <f>SUMPRODUCT((Сентябрь[№]=3)*Сентябрь[8],Сентябрь[Периодичность])</f>
        <v>113</v>
      </c>
      <c r="M15" s="30">
        <f>SUMPRODUCT((Сентябрь[№]=3)*Сентябрь[9],Сентябрь[Периодичность])</f>
        <v>0</v>
      </c>
      <c r="N15" s="30">
        <f>SUMPRODUCT((Сентябрь[№]=3)*Сентябрь[10],Сентябрь[Периодичность])</f>
        <v>0</v>
      </c>
      <c r="O15" s="30">
        <f>SUMPRODUCT((Сентябрь[№]=3)*Сентябрь[11],Сентябрь[Периодичность])</f>
        <v>68</v>
      </c>
      <c r="P15" s="30">
        <f>SUMPRODUCT((Сентябрь[№]=3)*Сентябрь[12],Сентябрь[Периодичность])</f>
        <v>113</v>
      </c>
      <c r="Q15" s="30">
        <f>SUMPRODUCT((Сентябрь[№]=3)*Сентябрь[13],Сентябрь[Периодичность])</f>
        <v>68</v>
      </c>
      <c r="R15" s="30">
        <f>SUMPRODUCT((Сентябрь[№]=3)*Сентябрь[14],Сентябрь[Периодичность])</f>
        <v>132</v>
      </c>
      <c r="S15" s="30">
        <f>SUMPRODUCT((Сентябрь[№]=3)*Сентябрь[15],Сентябрь[Периодичность])</f>
        <v>113</v>
      </c>
      <c r="T15" s="30">
        <f>SUMPRODUCT((Сентябрь[№]=3)*Сентябрь[16],Сентябрь[Периодичность])</f>
        <v>0</v>
      </c>
      <c r="U15" s="30">
        <f>SUMPRODUCT((Сентябрь[№]=3)*Сентябрь[17],Сентябрь[Периодичность])</f>
        <v>0</v>
      </c>
      <c r="V15" s="30">
        <f>SUMPRODUCT((Сентябрь[№]=3)*Сентябрь[18],Сентябрь[Периодичность])</f>
        <v>68</v>
      </c>
      <c r="W15" s="30">
        <f>SUMPRODUCT((Сентябрь[№]=3)*Сентябрь[19],Сентябрь[Периодичность])</f>
        <v>113</v>
      </c>
      <c r="X15" s="30">
        <f>SUMPRODUCT((Сентябрь[№]=3)*Сентябрь[20],Сентябрь[Периодичность])</f>
        <v>68</v>
      </c>
      <c r="Y15" s="30">
        <f>SUMPRODUCT((Сентябрь[№]=3)*Сентябрь[21],Сентябрь[Периодичность])</f>
        <v>132</v>
      </c>
      <c r="Z15" s="30">
        <f>SUMPRODUCT((Сентябрь[№]=3)*Сентябрь[22],Сентябрь[Периодичность])</f>
        <v>128</v>
      </c>
      <c r="AA15" s="30">
        <f>SUMPRODUCT((Сентябрь[№]=3)*Сентябрь[23],Сентябрь[Периодичность])</f>
        <v>0</v>
      </c>
      <c r="AB15" s="30">
        <f>SUMPRODUCT((Сентябрь[№]=3)*Сентябрь[24],Сентябрь[Периодичность])</f>
        <v>0</v>
      </c>
      <c r="AC15" s="30">
        <f>SUMPRODUCT((Сентябрь[№]=3)*Сентябрь[25],Сентябрь[Периодичность])</f>
        <v>68</v>
      </c>
      <c r="AD15" s="30">
        <f>SUMPRODUCT((Сентябрь[№]=3)*Сентябрь[26],Сентябрь[Периодичность])</f>
        <v>113</v>
      </c>
      <c r="AE15" s="30">
        <f>SUMPRODUCT((Сентябрь[№]=3)*Сентябрь[27],Сентябрь[Периодичность])</f>
        <v>68</v>
      </c>
      <c r="AF15" s="30">
        <f>SUMPRODUCT((Сентябрь[№]=3)*Сентябрь[28],Сентябрь[Периодичность])</f>
        <v>132</v>
      </c>
      <c r="AG15" s="30">
        <f>SUMPRODUCT((Сентябрь[№]=3)*Сентябрь[29],Сентябрь[Периодичность])</f>
        <v>113</v>
      </c>
      <c r="AH15" s="30">
        <f>SUMPRODUCT((Сентябрь[№]=3)*Сентябрь[30],Сентябрь[Периодичность])</f>
        <v>0</v>
      </c>
      <c r="AJ15" s="11"/>
    </row>
    <row r="16" spans="1:37" ht="18" customHeight="1" x14ac:dyDescent="0.25">
      <c r="B16" s="3">
        <f>SUMPRODUCT((Настройки!$E$29:$AH$29=4)*E16:AH16)</f>
        <v>1670</v>
      </c>
      <c r="D16" s="5"/>
      <c r="E16" s="3">
        <f t="shared" ref="E16:AH16" si="0">SUM(E13:E15)</f>
        <v>378</v>
      </c>
      <c r="F16" s="30">
        <f t="shared" si="0"/>
        <v>0</v>
      </c>
      <c r="G16" s="30">
        <f t="shared" si="0"/>
        <v>0</v>
      </c>
      <c r="H16" s="30">
        <f t="shared" si="0"/>
        <v>333</v>
      </c>
      <c r="I16" s="30">
        <f t="shared" si="0"/>
        <v>296</v>
      </c>
      <c r="J16" s="30">
        <f t="shared" si="0"/>
        <v>333</v>
      </c>
      <c r="K16" s="30">
        <f t="shared" si="0"/>
        <v>315</v>
      </c>
      <c r="L16" s="30">
        <f t="shared" si="0"/>
        <v>378</v>
      </c>
      <c r="M16" s="30">
        <f t="shared" si="0"/>
        <v>0</v>
      </c>
      <c r="N16" s="30">
        <f t="shared" si="0"/>
        <v>0</v>
      </c>
      <c r="O16" s="30">
        <f t="shared" si="0"/>
        <v>333</v>
      </c>
      <c r="P16" s="30">
        <f t="shared" si="0"/>
        <v>296</v>
      </c>
      <c r="Q16" s="30">
        <f t="shared" si="0"/>
        <v>333</v>
      </c>
      <c r="R16" s="30">
        <f t="shared" si="0"/>
        <v>315</v>
      </c>
      <c r="S16" s="30">
        <f t="shared" si="0"/>
        <v>378</v>
      </c>
      <c r="T16" s="30">
        <f t="shared" si="0"/>
        <v>0</v>
      </c>
      <c r="U16" s="30">
        <f t="shared" si="0"/>
        <v>0</v>
      </c>
      <c r="V16" s="30">
        <f t="shared" si="0"/>
        <v>333</v>
      </c>
      <c r="W16" s="30">
        <f t="shared" si="0"/>
        <v>296</v>
      </c>
      <c r="X16" s="30">
        <f t="shared" si="0"/>
        <v>333</v>
      </c>
      <c r="Y16" s="30">
        <f t="shared" si="0"/>
        <v>315</v>
      </c>
      <c r="Z16" s="30">
        <f t="shared" si="0"/>
        <v>393</v>
      </c>
      <c r="AA16" s="30">
        <f t="shared" si="0"/>
        <v>0</v>
      </c>
      <c r="AB16" s="30">
        <f t="shared" si="0"/>
        <v>0</v>
      </c>
      <c r="AC16" s="30">
        <f t="shared" si="0"/>
        <v>333</v>
      </c>
      <c r="AD16" s="30">
        <f t="shared" si="0"/>
        <v>296</v>
      </c>
      <c r="AE16" s="30">
        <f t="shared" si="0"/>
        <v>333</v>
      </c>
      <c r="AF16" s="30">
        <f t="shared" si="0"/>
        <v>315</v>
      </c>
      <c r="AG16" s="30">
        <f t="shared" si="0"/>
        <v>378</v>
      </c>
      <c r="AH16" s="30">
        <f t="shared" si="0"/>
        <v>0</v>
      </c>
      <c r="AJ16" s="11"/>
    </row>
    <row r="17" spans="1:36" ht="21.75" customHeight="1" x14ac:dyDescent="0.25">
      <c r="B17" s="3">
        <f>SUMPRODUCT((Настройки!$E$29:$AH$29=5)*E16:AH16)</f>
        <v>1655</v>
      </c>
      <c r="C17" s="5">
        <f>СентябрьИтоги[[#This Row],[№]]*60</f>
        <v>7012.9999999999991</v>
      </c>
      <c r="D17" s="7">
        <f>SUM(СентябрьИтоги[[#This Row],[1]:[30]])</f>
        <v>116.88333333333331</v>
      </c>
      <c r="E17" s="6">
        <f>E16/60</f>
        <v>6.3</v>
      </c>
      <c r="F17" s="31">
        <f t="shared" ref="F17:AH17" si="1">F16/60</f>
        <v>0</v>
      </c>
      <c r="G17" s="31">
        <f t="shared" si="1"/>
        <v>0</v>
      </c>
      <c r="H17" s="31">
        <f t="shared" si="1"/>
        <v>5.55</v>
      </c>
      <c r="I17" s="31">
        <f t="shared" si="1"/>
        <v>4.9333333333333336</v>
      </c>
      <c r="J17" s="31">
        <f t="shared" si="1"/>
        <v>5.55</v>
      </c>
      <c r="K17" s="31">
        <f t="shared" si="1"/>
        <v>5.25</v>
      </c>
      <c r="L17" s="31">
        <f t="shared" si="1"/>
        <v>6.3</v>
      </c>
      <c r="M17" s="31">
        <f t="shared" si="1"/>
        <v>0</v>
      </c>
      <c r="N17" s="31">
        <f t="shared" si="1"/>
        <v>0</v>
      </c>
      <c r="O17" s="31">
        <f t="shared" si="1"/>
        <v>5.55</v>
      </c>
      <c r="P17" s="31">
        <f t="shared" si="1"/>
        <v>4.9333333333333336</v>
      </c>
      <c r="Q17" s="31">
        <f t="shared" si="1"/>
        <v>5.55</v>
      </c>
      <c r="R17" s="31">
        <f t="shared" si="1"/>
        <v>5.25</v>
      </c>
      <c r="S17" s="31">
        <f t="shared" si="1"/>
        <v>6.3</v>
      </c>
      <c r="T17" s="31">
        <f t="shared" si="1"/>
        <v>0</v>
      </c>
      <c r="U17" s="31">
        <f t="shared" si="1"/>
        <v>0</v>
      </c>
      <c r="V17" s="31">
        <f t="shared" si="1"/>
        <v>5.55</v>
      </c>
      <c r="W17" s="31">
        <f t="shared" si="1"/>
        <v>4.9333333333333336</v>
      </c>
      <c r="X17" s="31">
        <f t="shared" si="1"/>
        <v>5.55</v>
      </c>
      <c r="Y17" s="31">
        <f t="shared" si="1"/>
        <v>5.25</v>
      </c>
      <c r="Z17" s="31">
        <f t="shared" si="1"/>
        <v>6.55</v>
      </c>
      <c r="AA17" s="31">
        <f t="shared" si="1"/>
        <v>0</v>
      </c>
      <c r="AB17" s="31">
        <f t="shared" si="1"/>
        <v>0</v>
      </c>
      <c r="AC17" s="31">
        <f t="shared" si="1"/>
        <v>5.55</v>
      </c>
      <c r="AD17" s="31">
        <f t="shared" si="1"/>
        <v>4.9333333333333336</v>
      </c>
      <c r="AE17" s="31">
        <f t="shared" si="1"/>
        <v>5.55</v>
      </c>
      <c r="AF17" s="31">
        <f t="shared" si="1"/>
        <v>5.25</v>
      </c>
      <c r="AG17" s="31">
        <f t="shared" si="1"/>
        <v>6.3</v>
      </c>
      <c r="AH17" s="31">
        <f t="shared" si="1"/>
        <v>0</v>
      </c>
      <c r="AI17" s="5">
        <f ca="1">SUM(Сентябрь[УСЛУГ])</f>
        <v>511</v>
      </c>
      <c r="AJ17" s="21">
        <f ca="1">SUM(Сентябрь[МИНУТ])</f>
        <v>7013</v>
      </c>
    </row>
    <row r="19" spans="1:36" x14ac:dyDescent="0.25">
      <c r="A19" s="49" t="s">
        <v>52</v>
      </c>
      <c r="B19" s="49" t="s">
        <v>53</v>
      </c>
      <c r="C19" s="50"/>
      <c r="D19" s="51" t="s">
        <v>67</v>
      </c>
      <c r="E19" s="43" t="s">
        <v>55</v>
      </c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45"/>
      <c r="AI19" s="39" t="s">
        <v>70</v>
      </c>
      <c r="AJ19" s="39" t="s">
        <v>70</v>
      </c>
    </row>
    <row r="20" spans="1:36" ht="15.75" customHeight="1" x14ac:dyDescent="0.25">
      <c r="A20" s="49"/>
      <c r="B20" s="49"/>
      <c r="C20" s="50"/>
      <c r="D20" s="52"/>
      <c r="E20" s="53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5"/>
      <c r="AI20" s="39"/>
      <c r="AJ20" s="39"/>
    </row>
    <row r="21" spans="1:36" x14ac:dyDescent="0.25">
      <c r="A21" s="49"/>
      <c r="B21" s="49"/>
      <c r="C21" s="50"/>
      <c r="D21" s="52"/>
      <c r="E21" s="27">
        <f>Настройки!E15</f>
        <v>45170</v>
      </c>
      <c r="F21" s="27">
        <f>Настройки!F15</f>
        <v>45171</v>
      </c>
      <c r="G21" s="27">
        <f>Настройки!G15</f>
        <v>45172</v>
      </c>
      <c r="H21" s="27">
        <f>Настройки!H15</f>
        <v>45173</v>
      </c>
      <c r="I21" s="27">
        <f>Настройки!I15</f>
        <v>45174</v>
      </c>
      <c r="J21" s="27">
        <f>Настройки!J15</f>
        <v>45175</v>
      </c>
      <c r="K21" s="27">
        <f>Настройки!K15</f>
        <v>45176</v>
      </c>
      <c r="L21" s="27">
        <f>Настройки!L15</f>
        <v>45177</v>
      </c>
      <c r="M21" s="27">
        <f>Настройки!M15</f>
        <v>45178</v>
      </c>
      <c r="N21" s="27">
        <f>Настройки!N15</f>
        <v>45179</v>
      </c>
      <c r="O21" s="27">
        <f>Настройки!O15</f>
        <v>45180</v>
      </c>
      <c r="P21" s="27">
        <f>Настройки!P15</f>
        <v>45181</v>
      </c>
      <c r="Q21" s="27">
        <f>Настройки!Q15</f>
        <v>45182</v>
      </c>
      <c r="R21" s="27">
        <f>Настройки!R15</f>
        <v>45183</v>
      </c>
      <c r="S21" s="27">
        <f>Настройки!S15</f>
        <v>45184</v>
      </c>
      <c r="T21" s="27">
        <f>Настройки!T15</f>
        <v>45185</v>
      </c>
      <c r="U21" s="27">
        <f>Настройки!U15</f>
        <v>45186</v>
      </c>
      <c r="V21" s="27">
        <f>Настройки!V15</f>
        <v>45187</v>
      </c>
      <c r="W21" s="27">
        <f>Настройки!W15</f>
        <v>45188</v>
      </c>
      <c r="X21" s="27">
        <f>Настройки!X15</f>
        <v>45189</v>
      </c>
      <c r="Y21" s="27">
        <f>Настройки!Y15</f>
        <v>45190</v>
      </c>
      <c r="Z21" s="27">
        <f>Настройки!Z15</f>
        <v>45191</v>
      </c>
      <c r="AA21" s="27">
        <f>Настройки!AA15</f>
        <v>45192</v>
      </c>
      <c r="AB21" s="27">
        <f>Настройки!AB15</f>
        <v>45193</v>
      </c>
      <c r="AC21" s="27">
        <f>Настройки!AC15</f>
        <v>45194</v>
      </c>
      <c r="AD21" s="27">
        <f>Настройки!AD15</f>
        <v>45195</v>
      </c>
      <c r="AE21" s="27">
        <f>Настройки!AE15</f>
        <v>45196</v>
      </c>
      <c r="AF21" s="27">
        <f>Настройки!AF15</f>
        <v>45197</v>
      </c>
      <c r="AG21" s="27">
        <f>Настройки!AG15</f>
        <v>45198</v>
      </c>
      <c r="AH21" s="27">
        <f>Настройки!AH15</f>
        <v>45199</v>
      </c>
      <c r="AI21" s="39"/>
      <c r="AJ21" s="39"/>
    </row>
    <row r="22" spans="1:36" x14ac:dyDescent="0.25">
      <c r="A22" s="49"/>
      <c r="B22" s="49"/>
      <c r="C22" s="50"/>
      <c r="D22" s="52"/>
      <c r="E22" s="44" t="s">
        <v>54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69"/>
      <c r="AI22" s="39"/>
      <c r="AJ22" s="39"/>
    </row>
    <row r="23" spans="1:36" x14ac:dyDescent="0.25">
      <c r="A23" s="49"/>
      <c r="B23" s="49"/>
      <c r="C23" s="50"/>
      <c r="D23" s="5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71"/>
      <c r="AI23" s="39"/>
      <c r="AJ23" s="39"/>
    </row>
    <row r="24" spans="1:36" ht="23.25" customHeight="1" x14ac:dyDescent="0.25">
      <c r="A24" s="3" t="s">
        <v>65</v>
      </c>
      <c r="B24" s="2" t="s">
        <v>63</v>
      </c>
      <c r="C24" s="3" t="s">
        <v>64</v>
      </c>
      <c r="D24" s="9" t="s">
        <v>66</v>
      </c>
      <c r="E24" s="3" t="s">
        <v>89</v>
      </c>
      <c r="F24" s="3" t="s">
        <v>90</v>
      </c>
      <c r="G24" s="3" t="s">
        <v>91</v>
      </c>
      <c r="H24" s="3" t="s">
        <v>92</v>
      </c>
      <c r="I24" s="3" t="s">
        <v>93</v>
      </c>
      <c r="J24" s="3" t="s">
        <v>94</v>
      </c>
      <c r="K24" s="3" t="s">
        <v>95</v>
      </c>
      <c r="L24" s="3" t="s">
        <v>96</v>
      </c>
      <c r="M24" s="3" t="s">
        <v>97</v>
      </c>
      <c r="N24" s="3" t="s">
        <v>98</v>
      </c>
      <c r="O24" s="3" t="s">
        <v>99</v>
      </c>
      <c r="P24" s="3" t="s">
        <v>100</v>
      </c>
      <c r="Q24" s="3" t="s">
        <v>101</v>
      </c>
      <c r="R24" s="3" t="s">
        <v>102</v>
      </c>
      <c r="S24" s="3" t="s">
        <v>103</v>
      </c>
      <c r="T24" s="3" t="s">
        <v>104</v>
      </c>
      <c r="U24" s="3" t="s">
        <v>105</v>
      </c>
      <c r="V24" s="3" t="s">
        <v>106</v>
      </c>
      <c r="W24" s="3" t="s">
        <v>107</v>
      </c>
      <c r="X24" s="3" t="s">
        <v>108</v>
      </c>
      <c r="Y24" s="3" t="s">
        <v>109</v>
      </c>
      <c r="Z24" s="3" t="s">
        <v>110</v>
      </c>
      <c r="AA24" s="3" t="s">
        <v>111</v>
      </c>
      <c r="AB24" s="3" t="s">
        <v>112</v>
      </c>
      <c r="AC24" s="3" t="s">
        <v>113</v>
      </c>
      <c r="AD24" s="3" t="s">
        <v>114</v>
      </c>
      <c r="AE24" s="3" t="s">
        <v>115</v>
      </c>
      <c r="AF24" s="3" t="s">
        <v>116</v>
      </c>
      <c r="AG24" s="3" t="s">
        <v>117</v>
      </c>
      <c r="AH24" s="3" t="s">
        <v>118</v>
      </c>
      <c r="AI24" s="3" t="s">
        <v>68</v>
      </c>
      <c r="AJ24" s="3" t="s">
        <v>69</v>
      </c>
    </row>
    <row r="25" spans="1:36" ht="31.5" x14ac:dyDescent="0.25">
      <c r="A25" s="16" t="s">
        <v>1</v>
      </c>
      <c r="B25" s="2" t="s">
        <v>56</v>
      </c>
      <c r="C25" s="8">
        <v>60</v>
      </c>
      <c r="D25" s="11">
        <v>1</v>
      </c>
      <c r="E25" s="10">
        <v>1</v>
      </c>
      <c r="F25" s="10"/>
      <c r="G25" s="10"/>
      <c r="H25" s="10">
        <v>1</v>
      </c>
      <c r="I25" s="10"/>
      <c r="J25" s="10">
        <v>1</v>
      </c>
      <c r="K25" s="10"/>
      <c r="L25" s="10">
        <v>1</v>
      </c>
      <c r="M25" s="10"/>
      <c r="N25" s="10"/>
      <c r="O25" s="10">
        <v>1</v>
      </c>
      <c r="P25" s="10"/>
      <c r="Q25" s="10">
        <v>1</v>
      </c>
      <c r="R25" s="10"/>
      <c r="S25" s="10">
        <v>1</v>
      </c>
      <c r="T25" s="10"/>
      <c r="U25" s="10"/>
      <c r="V25" s="10">
        <v>1</v>
      </c>
      <c r="W25" s="10"/>
      <c r="X25" s="10">
        <v>1</v>
      </c>
      <c r="Y25" s="10"/>
      <c r="Z25" s="10">
        <v>1</v>
      </c>
      <c r="AA25" s="10"/>
      <c r="AB25" s="10"/>
      <c r="AC25" s="10">
        <v>1</v>
      </c>
      <c r="AD25" s="10"/>
      <c r="AE25" s="10">
        <v>1</v>
      </c>
      <c r="AF25" s="10"/>
      <c r="AG25" s="10">
        <v>1</v>
      </c>
      <c r="AH25" s="10"/>
      <c r="AI25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13</v>
      </c>
      <c r="AJ25" s="5">
        <f ca="1">IF(Сентябрь[[#This Row],[УСЛУГ]]&lt;&gt;"",Сентябрь[[#This Row],[УСЛУГ]]*Сентябрь[[#This Row],[Периодичность]],"")</f>
        <v>780</v>
      </c>
    </row>
    <row r="26" spans="1:36" x14ac:dyDescent="0.25">
      <c r="A26" s="16"/>
      <c r="B26" s="2"/>
      <c r="C26" s="8">
        <v>60</v>
      </c>
      <c r="D26" s="11">
        <v>2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26" s="5" t="str">
        <f ca="1">IF(Сентябрь[[#This Row],[УСЛУГ]]&lt;&gt;"",Сентябрь[[#This Row],[УСЛУГ]]*Сентябрь[[#This Row],[Периодичность]],"")</f>
        <v/>
      </c>
    </row>
    <row r="27" spans="1:36" x14ac:dyDescent="0.25">
      <c r="A27" s="16"/>
      <c r="B27" s="2"/>
      <c r="C27" s="8">
        <v>60</v>
      </c>
      <c r="D27" s="11">
        <v>3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27" s="5" t="str">
        <f ca="1">IF(Сентябрь[[#This Row],[УСЛУГ]]&lt;&gt;"",Сентябрь[[#This Row],[УСЛУГ]]*Сентябрь[[#This Row],[Периодичность]],"")</f>
        <v/>
      </c>
    </row>
    <row r="28" spans="1:36" ht="31.5" x14ac:dyDescent="0.25">
      <c r="A28" s="16" t="s">
        <v>3</v>
      </c>
      <c r="B28" s="2" t="s">
        <v>58</v>
      </c>
      <c r="C28" s="8">
        <v>10</v>
      </c>
      <c r="D28" s="11">
        <v>1</v>
      </c>
      <c r="E28" s="10">
        <v>1</v>
      </c>
      <c r="F28" s="10"/>
      <c r="G28" s="10"/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/>
      <c r="N28" s="10"/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/>
      <c r="U28" s="10"/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/>
      <c r="AB28" s="10"/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10"/>
      <c r="AI28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63</v>
      </c>
      <c r="AJ28" s="5">
        <f ca="1">IF(Сентябрь[[#This Row],[УСЛУГ]]&lt;&gt;"",Сентябрь[[#This Row],[УСЛУГ]]*Сентябрь[[#This Row],[Периодичность]],"")</f>
        <v>630</v>
      </c>
    </row>
    <row r="29" spans="1:36" x14ac:dyDescent="0.25">
      <c r="A29" s="16"/>
      <c r="B29" s="2"/>
      <c r="C29" s="8">
        <v>10</v>
      </c>
      <c r="D29" s="11">
        <v>2</v>
      </c>
      <c r="E29" s="10">
        <v>1</v>
      </c>
      <c r="F29" s="10"/>
      <c r="G29" s="10"/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/>
      <c r="N29" s="10"/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/>
      <c r="U29" s="10"/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/>
      <c r="AB29" s="10"/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10"/>
      <c r="AI29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29" s="5" t="str">
        <f ca="1">IF(Сентябрь[[#This Row],[УСЛУГ]]&lt;&gt;"",Сентябрь[[#This Row],[УСЛУГ]]*Сентябрь[[#This Row],[Периодичность]],"")</f>
        <v/>
      </c>
    </row>
    <row r="30" spans="1:36" x14ac:dyDescent="0.25">
      <c r="A30" s="16"/>
      <c r="B30" s="2"/>
      <c r="C30" s="8">
        <v>10</v>
      </c>
      <c r="D30" s="11">
        <v>3</v>
      </c>
      <c r="E30" s="10">
        <v>1</v>
      </c>
      <c r="F30" s="10"/>
      <c r="G30" s="10"/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/>
      <c r="N30" s="10"/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0"/>
      <c r="U30" s="10"/>
      <c r="V30" s="10">
        <v>1</v>
      </c>
      <c r="W30" s="10">
        <v>1</v>
      </c>
      <c r="X30" s="10">
        <v>1</v>
      </c>
      <c r="Y30" s="10">
        <v>1</v>
      </c>
      <c r="Z30" s="10">
        <v>1</v>
      </c>
      <c r="AA30" s="10"/>
      <c r="AB30" s="10"/>
      <c r="AC30" s="10">
        <v>1</v>
      </c>
      <c r="AD30" s="10">
        <v>1</v>
      </c>
      <c r="AE30" s="10">
        <v>1</v>
      </c>
      <c r="AF30" s="10">
        <v>1</v>
      </c>
      <c r="AG30" s="10">
        <v>1</v>
      </c>
      <c r="AH30" s="10"/>
      <c r="AI30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30" s="5" t="str">
        <f ca="1">IF(Сентябрь[[#This Row],[УСЛУГ]]&lt;&gt;"",Сентябрь[[#This Row],[УСЛУГ]]*Сентябрь[[#This Row],[Периодичность]],"")</f>
        <v/>
      </c>
    </row>
    <row r="31" spans="1:36" x14ac:dyDescent="0.25">
      <c r="A31" s="16" t="s">
        <v>5</v>
      </c>
      <c r="B31" s="2" t="s">
        <v>58</v>
      </c>
      <c r="C31" s="8">
        <v>30</v>
      </c>
      <c r="D31" s="11">
        <v>1</v>
      </c>
      <c r="E31" s="10">
        <v>1</v>
      </c>
      <c r="F31" s="10"/>
      <c r="G31" s="10"/>
      <c r="H31" s="10">
        <v>1</v>
      </c>
      <c r="I31" s="10">
        <v>1</v>
      </c>
      <c r="J31" s="10">
        <v>1</v>
      </c>
      <c r="K31" s="10">
        <v>1</v>
      </c>
      <c r="L31" s="10">
        <v>1</v>
      </c>
      <c r="M31" s="10"/>
      <c r="N31" s="10"/>
      <c r="O31" s="10">
        <v>1</v>
      </c>
      <c r="P31" s="10">
        <v>1</v>
      </c>
      <c r="Q31" s="10">
        <v>1</v>
      </c>
      <c r="R31" s="10">
        <v>1</v>
      </c>
      <c r="S31" s="10">
        <v>1</v>
      </c>
      <c r="T31" s="10"/>
      <c r="U31" s="10"/>
      <c r="V31" s="10">
        <v>1</v>
      </c>
      <c r="W31" s="10">
        <v>1</v>
      </c>
      <c r="X31" s="10">
        <v>1</v>
      </c>
      <c r="Y31" s="10">
        <v>1</v>
      </c>
      <c r="Z31" s="10">
        <v>1</v>
      </c>
      <c r="AA31" s="10"/>
      <c r="AB31" s="10"/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10"/>
      <c r="AI31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63</v>
      </c>
      <c r="AJ31" s="5">
        <f ca="1">IF(Сентябрь[[#This Row],[УСЛУГ]]&lt;&gt;"",Сентябрь[[#This Row],[УСЛУГ]]*Сентябрь[[#This Row],[Периодичность]],"")</f>
        <v>1890</v>
      </c>
    </row>
    <row r="32" spans="1:36" x14ac:dyDescent="0.25">
      <c r="A32" s="16"/>
      <c r="B32" s="2"/>
      <c r="C32" s="8">
        <v>30</v>
      </c>
      <c r="D32" s="11">
        <v>2</v>
      </c>
      <c r="E32" s="10">
        <v>1</v>
      </c>
      <c r="F32" s="10"/>
      <c r="G32" s="10"/>
      <c r="H32" s="10">
        <v>1</v>
      </c>
      <c r="I32" s="10">
        <v>1</v>
      </c>
      <c r="J32" s="10">
        <v>1</v>
      </c>
      <c r="K32" s="10">
        <v>1</v>
      </c>
      <c r="L32" s="10">
        <v>1</v>
      </c>
      <c r="M32" s="10"/>
      <c r="N32" s="10"/>
      <c r="O32" s="10">
        <v>1</v>
      </c>
      <c r="P32" s="10">
        <v>1</v>
      </c>
      <c r="Q32" s="10">
        <v>1</v>
      </c>
      <c r="R32" s="10">
        <v>1</v>
      </c>
      <c r="S32" s="10">
        <v>1</v>
      </c>
      <c r="T32" s="10"/>
      <c r="U32" s="10"/>
      <c r="V32" s="10">
        <v>1</v>
      </c>
      <c r="W32" s="10">
        <v>1</v>
      </c>
      <c r="X32" s="10">
        <v>1</v>
      </c>
      <c r="Y32" s="10">
        <v>1</v>
      </c>
      <c r="Z32" s="10">
        <v>1</v>
      </c>
      <c r="AA32" s="10"/>
      <c r="AB32" s="10"/>
      <c r="AC32" s="10">
        <v>1</v>
      </c>
      <c r="AD32" s="10">
        <v>1</v>
      </c>
      <c r="AE32" s="10">
        <v>1</v>
      </c>
      <c r="AF32" s="10">
        <v>1</v>
      </c>
      <c r="AG32" s="10">
        <v>1</v>
      </c>
      <c r="AH32" s="10"/>
      <c r="AI32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32" s="5" t="str">
        <f ca="1">IF(Сентябрь[[#This Row],[УСЛУГ]]&lt;&gt;"",Сентябрь[[#This Row],[УСЛУГ]]*Сентябрь[[#This Row],[Периодичность]],"")</f>
        <v/>
      </c>
    </row>
    <row r="33" spans="1:36" x14ac:dyDescent="0.25">
      <c r="A33" s="16"/>
      <c r="B33" s="2"/>
      <c r="C33" s="8">
        <v>30</v>
      </c>
      <c r="D33" s="11">
        <v>3</v>
      </c>
      <c r="E33" s="10">
        <v>1</v>
      </c>
      <c r="F33" s="10"/>
      <c r="G33" s="10"/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/>
      <c r="N33" s="10"/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/>
      <c r="U33" s="10"/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/>
      <c r="AB33" s="10"/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10"/>
      <c r="AI33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33" s="5" t="str">
        <f ca="1">IF(Сентябрь[[#This Row],[УСЛУГ]]&lt;&gt;"",Сентябрь[[#This Row],[УСЛУГ]]*Сентябрь[[#This Row],[Периодичность]],"")</f>
        <v/>
      </c>
    </row>
    <row r="34" spans="1:36" ht="47.25" x14ac:dyDescent="0.25">
      <c r="A34" s="16" t="s">
        <v>85</v>
      </c>
      <c r="B34" s="2" t="s">
        <v>58</v>
      </c>
      <c r="C34" s="8">
        <v>3</v>
      </c>
      <c r="D34" s="11">
        <v>1</v>
      </c>
      <c r="E34" s="10">
        <v>1</v>
      </c>
      <c r="F34" s="10"/>
      <c r="G34" s="10"/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/>
      <c r="N34" s="10"/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/>
      <c r="U34" s="10"/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/>
      <c r="AB34" s="10"/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10"/>
      <c r="AI34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63</v>
      </c>
      <c r="AJ34" s="5">
        <f ca="1">IF(Сентябрь[[#This Row],[УСЛУГ]]&lt;&gt;"",Сентябрь[[#This Row],[УСЛУГ]]*Сентябрь[[#This Row],[Периодичность]],"")</f>
        <v>189</v>
      </c>
    </row>
    <row r="35" spans="1:36" x14ac:dyDescent="0.25">
      <c r="A35" s="16"/>
      <c r="B35" s="2"/>
      <c r="C35" s="8">
        <v>3</v>
      </c>
      <c r="D35" s="11">
        <v>2</v>
      </c>
      <c r="E35" s="10">
        <v>1</v>
      </c>
      <c r="F35" s="10"/>
      <c r="G35" s="10"/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/>
      <c r="N35" s="10"/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/>
      <c r="U35" s="10"/>
      <c r="V35" s="10">
        <v>1</v>
      </c>
      <c r="W35" s="10">
        <v>1</v>
      </c>
      <c r="X35" s="10">
        <v>1</v>
      </c>
      <c r="Y35" s="10">
        <v>1</v>
      </c>
      <c r="Z35" s="10">
        <v>1</v>
      </c>
      <c r="AA35" s="10"/>
      <c r="AB35" s="10"/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10"/>
      <c r="AI35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35" s="5" t="str">
        <f ca="1">IF(Сентябрь[[#This Row],[УСЛУГ]]&lt;&gt;"",Сентябрь[[#This Row],[УСЛУГ]]*Сентябрь[[#This Row],[Периодичность]],"")</f>
        <v/>
      </c>
    </row>
    <row r="36" spans="1:36" x14ac:dyDescent="0.25">
      <c r="A36" s="16"/>
      <c r="B36" s="2"/>
      <c r="C36" s="8">
        <v>3</v>
      </c>
      <c r="D36" s="11">
        <v>3</v>
      </c>
      <c r="E36" s="10">
        <v>1</v>
      </c>
      <c r="F36" s="10"/>
      <c r="G36" s="10"/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/>
      <c r="N36" s="10"/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/>
      <c r="U36" s="10"/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/>
      <c r="AB36" s="10"/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10"/>
      <c r="AI36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36" s="5" t="str">
        <f ca="1">IF(Сентябрь[[#This Row],[УСЛУГ]]&lt;&gt;"",Сентябрь[[#This Row],[УСЛУГ]]*Сентябрь[[#This Row],[Периодичность]],"")</f>
        <v/>
      </c>
    </row>
    <row r="37" spans="1:36" x14ac:dyDescent="0.25">
      <c r="A37" s="16" t="s">
        <v>8</v>
      </c>
      <c r="B37" s="2" t="s">
        <v>59</v>
      </c>
      <c r="C37" s="8">
        <v>15</v>
      </c>
      <c r="D37" s="11">
        <v>1</v>
      </c>
      <c r="E37" s="10">
        <v>1</v>
      </c>
      <c r="F37" s="10"/>
      <c r="G37" s="10"/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/>
      <c r="N37" s="10"/>
      <c r="O37" s="10">
        <v>1</v>
      </c>
      <c r="P37" s="10">
        <v>1</v>
      </c>
      <c r="Q37" s="10">
        <v>1</v>
      </c>
      <c r="R37" s="10">
        <v>1</v>
      </c>
      <c r="S37" s="10">
        <v>1</v>
      </c>
      <c r="T37" s="10"/>
      <c r="U37" s="10"/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/>
      <c r="AB37" s="10"/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/>
      <c r="AI37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21</v>
      </c>
      <c r="AJ37" s="5">
        <f ca="1">IF(Сентябрь[[#This Row],[УСЛУГ]]&lt;&gt;"",Сентябрь[[#This Row],[УСЛУГ]]*Сентябрь[[#This Row],[Периодичность]],"")</f>
        <v>315</v>
      </c>
    </row>
    <row r="38" spans="1:36" x14ac:dyDescent="0.25">
      <c r="A38" s="16"/>
      <c r="B38" s="2"/>
      <c r="C38" s="8">
        <v>15</v>
      </c>
      <c r="D38" s="11">
        <v>2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38" s="5" t="str">
        <f ca="1">IF(Сентябрь[[#This Row],[УСЛУГ]]&lt;&gt;"",Сентябрь[[#This Row],[УСЛУГ]]*Сентябрь[[#This Row],[Периодичность]],"")</f>
        <v/>
      </c>
    </row>
    <row r="39" spans="1:36" x14ac:dyDescent="0.25">
      <c r="A39" s="16"/>
      <c r="B39" s="2"/>
      <c r="C39" s="8">
        <v>15</v>
      </c>
      <c r="D39" s="11">
        <v>3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39" s="5" t="str">
        <f ca="1">IF(Сентябрь[[#This Row],[УСЛУГ]]&lt;&gt;"",Сентябрь[[#This Row],[УСЛУГ]]*Сентябрь[[#This Row],[Периодичность]],"")</f>
        <v/>
      </c>
    </row>
    <row r="40" spans="1:36" ht="47.25" x14ac:dyDescent="0.25">
      <c r="A40" s="16" t="s">
        <v>84</v>
      </c>
      <c r="B40" s="2" t="s">
        <v>61</v>
      </c>
      <c r="C40" s="8">
        <v>49</v>
      </c>
      <c r="D40" s="11">
        <v>1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4</v>
      </c>
      <c r="AJ40" s="5">
        <f ca="1">IF(Сентябрь[[#This Row],[УСЛУГ]]&lt;&gt;"",Сентябрь[[#This Row],[УСЛУГ]]*Сентябрь[[#This Row],[Периодичность]],"")</f>
        <v>196</v>
      </c>
    </row>
    <row r="41" spans="1:36" x14ac:dyDescent="0.25">
      <c r="A41" s="16"/>
      <c r="B41" s="2"/>
      <c r="C41" s="8">
        <v>49</v>
      </c>
      <c r="D41" s="11">
        <v>2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41" s="5" t="str">
        <f ca="1">IF(Сентябрь[[#This Row],[УСЛУГ]]&lt;&gt;"",Сентябрь[[#This Row],[УСЛУГ]]*Сентябрь[[#This Row],[Периодичность]],"")</f>
        <v/>
      </c>
    </row>
    <row r="42" spans="1:36" x14ac:dyDescent="0.25">
      <c r="A42" s="16"/>
      <c r="B42" s="2"/>
      <c r="C42" s="8">
        <v>49</v>
      </c>
      <c r="D42" s="11">
        <v>3</v>
      </c>
      <c r="E42" s="10"/>
      <c r="F42" s="10"/>
      <c r="G42" s="10"/>
      <c r="H42" s="10"/>
      <c r="I42" s="10"/>
      <c r="J42" s="10"/>
      <c r="K42" s="10">
        <v>1</v>
      </c>
      <c r="L42" s="10"/>
      <c r="M42" s="10"/>
      <c r="N42" s="10"/>
      <c r="O42" s="10"/>
      <c r="P42" s="10"/>
      <c r="Q42" s="10"/>
      <c r="R42" s="10">
        <v>1</v>
      </c>
      <c r="S42" s="10"/>
      <c r="T42" s="10"/>
      <c r="U42" s="10"/>
      <c r="V42" s="10"/>
      <c r="W42" s="10"/>
      <c r="X42" s="10"/>
      <c r="Y42" s="10">
        <v>1</v>
      </c>
      <c r="Z42" s="10"/>
      <c r="AA42" s="10"/>
      <c r="AB42" s="10"/>
      <c r="AC42" s="10"/>
      <c r="AD42" s="10"/>
      <c r="AE42" s="10"/>
      <c r="AF42" s="10">
        <v>1</v>
      </c>
      <c r="AG42" s="10"/>
      <c r="AH42" s="10"/>
      <c r="AI42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42" s="5" t="str">
        <f ca="1">IF(Сентябрь[[#This Row],[УСЛУГ]]&lt;&gt;"",Сентябрь[[#This Row],[УСЛУГ]]*Сентябрь[[#This Row],[Периодичность]],"")</f>
        <v/>
      </c>
    </row>
    <row r="43" spans="1:36" ht="31.5" x14ac:dyDescent="0.25">
      <c r="A43" s="16" t="s">
        <v>13</v>
      </c>
      <c r="B43" s="2" t="s">
        <v>59</v>
      </c>
      <c r="C43" s="8">
        <v>12</v>
      </c>
      <c r="D43" s="11">
        <v>1</v>
      </c>
      <c r="E43" s="10">
        <v>1</v>
      </c>
      <c r="F43" s="10"/>
      <c r="G43" s="10"/>
      <c r="H43" s="10">
        <v>1</v>
      </c>
      <c r="I43" s="10"/>
      <c r="J43" s="10">
        <v>1</v>
      </c>
      <c r="K43" s="10"/>
      <c r="L43" s="10">
        <v>1</v>
      </c>
      <c r="M43" s="10"/>
      <c r="N43" s="10"/>
      <c r="O43" s="10">
        <v>1</v>
      </c>
      <c r="P43" s="10"/>
      <c r="Q43" s="10">
        <v>1</v>
      </c>
      <c r="R43" s="10"/>
      <c r="S43" s="10">
        <v>1</v>
      </c>
      <c r="T43" s="10"/>
      <c r="U43" s="10"/>
      <c r="V43" s="10">
        <v>1</v>
      </c>
      <c r="W43" s="10"/>
      <c r="X43" s="10">
        <v>1</v>
      </c>
      <c r="Y43" s="10"/>
      <c r="Z43" s="10">
        <v>1</v>
      </c>
      <c r="AA43" s="10"/>
      <c r="AB43" s="10"/>
      <c r="AC43" s="10">
        <v>1</v>
      </c>
      <c r="AD43" s="10"/>
      <c r="AE43" s="10">
        <v>1</v>
      </c>
      <c r="AF43" s="10"/>
      <c r="AG43" s="10">
        <v>1</v>
      </c>
      <c r="AH43" s="10"/>
      <c r="AI43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13</v>
      </c>
      <c r="AJ43" s="5">
        <f ca="1">IF(Сентябрь[[#This Row],[УСЛУГ]]&lt;&gt;"",Сентябрь[[#This Row],[УСЛУГ]]*Сентябрь[[#This Row],[Периодичность]],"")</f>
        <v>156</v>
      </c>
    </row>
    <row r="44" spans="1:36" x14ac:dyDescent="0.25">
      <c r="A44" s="16"/>
      <c r="B44" s="2"/>
      <c r="C44" s="8">
        <v>12</v>
      </c>
      <c r="D44" s="11">
        <v>2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44" s="5" t="str">
        <f ca="1">IF(Сентябрь[[#This Row],[УСЛУГ]]&lt;&gt;"",Сентябрь[[#This Row],[УСЛУГ]]*Сентябрь[[#This Row],[Периодичность]],"")</f>
        <v/>
      </c>
    </row>
    <row r="45" spans="1:36" x14ac:dyDescent="0.25">
      <c r="A45" s="16"/>
      <c r="B45" s="2"/>
      <c r="C45" s="8">
        <v>12</v>
      </c>
      <c r="D45" s="11">
        <v>3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45" s="5" t="str">
        <f ca="1">IF(Сентябрь[[#This Row],[УСЛУГ]]&lt;&gt;"",Сентябрь[[#This Row],[УСЛУГ]]*Сентябрь[[#This Row],[Периодичность]],"")</f>
        <v/>
      </c>
    </row>
    <row r="46" spans="1:36" x14ac:dyDescent="0.25">
      <c r="A46" s="16" t="s">
        <v>16</v>
      </c>
      <c r="B46" s="2" t="s">
        <v>59</v>
      </c>
      <c r="C46" s="8">
        <v>15</v>
      </c>
      <c r="D46" s="11">
        <v>1</v>
      </c>
      <c r="E46" s="10">
        <v>1</v>
      </c>
      <c r="F46" s="10"/>
      <c r="G46" s="10"/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/>
      <c r="N46" s="10"/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/>
      <c r="U46" s="10"/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/>
      <c r="AB46" s="10"/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10"/>
      <c r="AI46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22</v>
      </c>
      <c r="AJ46" s="5">
        <f ca="1">IF(Сентябрь[[#This Row],[УСЛУГ]]&lt;&gt;"",Сентябрь[[#This Row],[УСЛУГ]]*Сентябрь[[#This Row],[Периодичность]],"")</f>
        <v>330</v>
      </c>
    </row>
    <row r="47" spans="1:36" x14ac:dyDescent="0.25">
      <c r="A47" s="16"/>
      <c r="B47" s="2"/>
      <c r="C47" s="8">
        <v>15</v>
      </c>
      <c r="D47" s="11">
        <v>2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47" s="5" t="str">
        <f ca="1">IF(Сентябрь[[#This Row],[УСЛУГ]]&lt;&gt;"",Сентябрь[[#This Row],[УСЛУГ]]*Сентябрь[[#This Row],[Периодичность]],"")</f>
        <v/>
      </c>
    </row>
    <row r="48" spans="1:36" x14ac:dyDescent="0.25">
      <c r="A48" s="16"/>
      <c r="B48" s="2"/>
      <c r="C48" s="8">
        <v>15</v>
      </c>
      <c r="D48" s="11">
        <v>3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>
        <v>1</v>
      </c>
      <c r="AA48" s="10"/>
      <c r="AB48" s="10"/>
      <c r="AC48" s="10"/>
      <c r="AD48" s="10"/>
      <c r="AE48" s="10"/>
      <c r="AF48" s="10"/>
      <c r="AG48" s="10"/>
      <c r="AH48" s="10"/>
      <c r="AI48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48" s="5" t="str">
        <f ca="1">IF(Сентябрь[[#This Row],[УСЛУГ]]&lt;&gt;"",Сентябрь[[#This Row],[УСЛУГ]]*Сентябрь[[#This Row],[Периодичность]],"")</f>
        <v/>
      </c>
    </row>
    <row r="49" spans="1:36" ht="31.5" x14ac:dyDescent="0.25">
      <c r="A49" s="16" t="s">
        <v>25</v>
      </c>
      <c r="B49" s="2" t="s">
        <v>59</v>
      </c>
      <c r="C49" s="8">
        <v>10</v>
      </c>
      <c r="D49" s="11">
        <v>1</v>
      </c>
      <c r="E49" s="10">
        <v>1</v>
      </c>
      <c r="F49" s="10"/>
      <c r="G49" s="10"/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/>
      <c r="N49" s="10"/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/>
      <c r="U49" s="10"/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/>
      <c r="AB49" s="10"/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10"/>
      <c r="AI49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21</v>
      </c>
      <c r="AJ49" s="5">
        <f ca="1">IF(Сентябрь[[#This Row],[УСЛУГ]]&lt;&gt;"",Сентябрь[[#This Row],[УСЛУГ]]*Сентябрь[[#This Row],[Периодичность]],"")</f>
        <v>210</v>
      </c>
    </row>
    <row r="50" spans="1:36" x14ac:dyDescent="0.25">
      <c r="A50" s="16"/>
      <c r="B50" s="2"/>
      <c r="C50" s="8">
        <v>10</v>
      </c>
      <c r="D50" s="11">
        <v>2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50" s="5" t="str">
        <f ca="1">IF(Сентябрь[[#This Row],[УСЛУГ]]&lt;&gt;"",Сентябрь[[#This Row],[УСЛУГ]]*Сентябрь[[#This Row],[Периодичность]],"")</f>
        <v/>
      </c>
    </row>
    <row r="51" spans="1:36" x14ac:dyDescent="0.25">
      <c r="A51" s="16"/>
      <c r="B51" s="2"/>
      <c r="C51" s="8">
        <v>10</v>
      </c>
      <c r="D51" s="11">
        <v>3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51" s="5" t="str">
        <f ca="1">IF(Сентябрь[[#This Row],[УСЛУГ]]&lt;&gt;"",Сентябрь[[#This Row],[УСЛУГ]]*Сентябрь[[#This Row],[Периодичность]],"")</f>
        <v/>
      </c>
    </row>
    <row r="52" spans="1:36" ht="31.5" x14ac:dyDescent="0.25">
      <c r="A52" s="16" t="s">
        <v>27</v>
      </c>
      <c r="B52" s="2" t="s">
        <v>59</v>
      </c>
      <c r="C52" s="8">
        <v>15</v>
      </c>
      <c r="D52" s="11">
        <v>1</v>
      </c>
      <c r="E52" s="10">
        <v>1</v>
      </c>
      <c r="F52" s="10"/>
      <c r="G52" s="10"/>
      <c r="H52" s="10">
        <v>1</v>
      </c>
      <c r="I52" s="10">
        <v>1</v>
      </c>
      <c r="J52" s="10">
        <v>1</v>
      </c>
      <c r="K52" s="10">
        <v>1</v>
      </c>
      <c r="L52" s="10">
        <v>1</v>
      </c>
      <c r="M52" s="10"/>
      <c r="N52" s="10"/>
      <c r="O52" s="10">
        <v>1</v>
      </c>
      <c r="P52" s="10">
        <v>1</v>
      </c>
      <c r="Q52" s="10">
        <v>1</v>
      </c>
      <c r="R52" s="10">
        <v>1</v>
      </c>
      <c r="S52" s="10">
        <v>1</v>
      </c>
      <c r="T52" s="10"/>
      <c r="U52" s="10"/>
      <c r="V52" s="10">
        <v>1</v>
      </c>
      <c r="W52" s="10">
        <v>1</v>
      </c>
      <c r="X52" s="10">
        <v>1</v>
      </c>
      <c r="Y52" s="10">
        <v>1</v>
      </c>
      <c r="Z52" s="10">
        <v>1</v>
      </c>
      <c r="AA52" s="10"/>
      <c r="AB52" s="10"/>
      <c r="AC52" s="10">
        <v>1</v>
      </c>
      <c r="AD52" s="10">
        <v>1</v>
      </c>
      <c r="AE52" s="10">
        <v>1</v>
      </c>
      <c r="AF52" s="10">
        <v>1</v>
      </c>
      <c r="AG52" s="10">
        <v>1</v>
      </c>
      <c r="AH52" s="10"/>
      <c r="AI52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21</v>
      </c>
      <c r="AJ52" s="5">
        <f ca="1">IF(Сентябрь[[#This Row],[УСЛУГ]]&lt;&gt;"",Сентябрь[[#This Row],[УСЛУГ]]*Сентябрь[[#This Row],[Периодичность]],"")</f>
        <v>315</v>
      </c>
    </row>
    <row r="53" spans="1:36" x14ac:dyDescent="0.25">
      <c r="A53" s="16"/>
      <c r="B53" s="2"/>
      <c r="C53" s="8">
        <v>15</v>
      </c>
      <c r="D53" s="11">
        <v>2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53" s="5" t="str">
        <f ca="1">IF(Сентябрь[[#This Row],[УСЛУГ]]&lt;&gt;"",Сентябрь[[#This Row],[УСЛУГ]]*Сентябрь[[#This Row],[Периодичность]],"")</f>
        <v/>
      </c>
    </row>
    <row r="54" spans="1:36" x14ac:dyDescent="0.25">
      <c r="A54" s="16"/>
      <c r="B54" s="2"/>
      <c r="C54" s="8">
        <v>15</v>
      </c>
      <c r="D54" s="11">
        <v>3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54" s="5" t="str">
        <f ca="1">IF(Сентябрь[[#This Row],[УСЛУГ]]&lt;&gt;"",Сентябрь[[#This Row],[УСЛУГ]]*Сентябрь[[#This Row],[Периодичность]],"")</f>
        <v/>
      </c>
    </row>
    <row r="55" spans="1:36" ht="31.5" x14ac:dyDescent="0.25">
      <c r="A55" s="16" t="s">
        <v>29</v>
      </c>
      <c r="B55" s="2" t="s">
        <v>61</v>
      </c>
      <c r="C55" s="8">
        <v>15</v>
      </c>
      <c r="D55" s="11">
        <v>1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4</v>
      </c>
      <c r="AJ55" s="5">
        <f ca="1">IF(Сентябрь[[#This Row],[УСЛУГ]]&lt;&gt;"",Сентябрь[[#This Row],[УСЛУГ]]*Сентябрь[[#This Row],[Периодичность]],"")</f>
        <v>60</v>
      </c>
    </row>
    <row r="56" spans="1:36" x14ac:dyDescent="0.25">
      <c r="A56" s="16"/>
      <c r="B56" s="2"/>
      <c r="C56" s="8">
        <v>15</v>
      </c>
      <c r="D56" s="11">
        <v>2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56" s="5" t="str">
        <f ca="1">IF(Сентябрь[[#This Row],[УСЛУГ]]&lt;&gt;"",Сентябрь[[#This Row],[УСЛУГ]]*Сентябрь[[#This Row],[Периодичность]],"")</f>
        <v/>
      </c>
    </row>
    <row r="57" spans="1:36" x14ac:dyDescent="0.25">
      <c r="A57" s="16"/>
      <c r="B57" s="2"/>
      <c r="C57" s="8">
        <v>15</v>
      </c>
      <c r="D57" s="11">
        <v>3</v>
      </c>
      <c r="E57" s="10"/>
      <c r="F57" s="10"/>
      <c r="G57" s="10"/>
      <c r="H57" s="10"/>
      <c r="I57" s="10"/>
      <c r="J57" s="10"/>
      <c r="K57" s="10">
        <v>1</v>
      </c>
      <c r="L57" s="10"/>
      <c r="M57" s="10"/>
      <c r="N57" s="10"/>
      <c r="O57" s="10"/>
      <c r="P57" s="10"/>
      <c r="Q57" s="10"/>
      <c r="R57" s="10">
        <v>1</v>
      </c>
      <c r="S57" s="10"/>
      <c r="T57" s="10"/>
      <c r="U57" s="10"/>
      <c r="V57" s="10"/>
      <c r="W57" s="10"/>
      <c r="X57" s="10"/>
      <c r="Y57" s="10">
        <v>1</v>
      </c>
      <c r="Z57" s="10"/>
      <c r="AA57" s="10"/>
      <c r="AB57" s="10"/>
      <c r="AC57" s="10"/>
      <c r="AD57" s="10"/>
      <c r="AE57" s="10"/>
      <c r="AF57" s="10">
        <v>1</v>
      </c>
      <c r="AG57" s="10"/>
      <c r="AH57" s="10"/>
      <c r="AI57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57" s="5" t="str">
        <f ca="1">IF(Сентябрь[[#This Row],[УСЛУГ]]&lt;&gt;"",Сентябрь[[#This Row],[УСЛУГ]]*Сентябрь[[#This Row],[Периодичность]],"")</f>
        <v/>
      </c>
    </row>
    <row r="58" spans="1:36" ht="47.25" x14ac:dyDescent="0.25">
      <c r="A58" s="16" t="s">
        <v>83</v>
      </c>
      <c r="B58" s="2" t="s">
        <v>58</v>
      </c>
      <c r="C58" s="8">
        <v>10</v>
      </c>
      <c r="D58" s="11">
        <v>1</v>
      </c>
      <c r="E58" s="10">
        <v>1</v>
      </c>
      <c r="F58" s="10"/>
      <c r="G58" s="10"/>
      <c r="H58" s="10">
        <v>1</v>
      </c>
      <c r="I58" s="10">
        <v>1</v>
      </c>
      <c r="J58" s="10">
        <v>1</v>
      </c>
      <c r="K58" s="10">
        <v>1</v>
      </c>
      <c r="L58" s="10">
        <v>1</v>
      </c>
      <c r="M58" s="10"/>
      <c r="N58" s="10"/>
      <c r="O58" s="10">
        <v>1</v>
      </c>
      <c r="P58" s="10">
        <v>1</v>
      </c>
      <c r="Q58" s="10">
        <v>1</v>
      </c>
      <c r="R58" s="10">
        <v>1</v>
      </c>
      <c r="S58" s="10">
        <v>1</v>
      </c>
      <c r="T58" s="10"/>
      <c r="U58" s="10"/>
      <c r="V58" s="10">
        <v>1</v>
      </c>
      <c r="W58" s="10">
        <v>1</v>
      </c>
      <c r="X58" s="10">
        <v>1</v>
      </c>
      <c r="Y58" s="10">
        <v>1</v>
      </c>
      <c r="Z58" s="10">
        <v>1</v>
      </c>
      <c r="AA58" s="10"/>
      <c r="AB58" s="10"/>
      <c r="AC58" s="10">
        <v>1</v>
      </c>
      <c r="AD58" s="10">
        <v>1</v>
      </c>
      <c r="AE58" s="10">
        <v>1</v>
      </c>
      <c r="AF58" s="10">
        <v>1</v>
      </c>
      <c r="AG58" s="10">
        <v>1</v>
      </c>
      <c r="AH58" s="10"/>
      <c r="AI58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63</v>
      </c>
      <c r="AJ58" s="5">
        <f ca="1">IF(Сентябрь[[#This Row],[УСЛУГ]]&lt;&gt;"",Сентябрь[[#This Row],[УСЛУГ]]*Сентябрь[[#This Row],[Периодичность]],"")</f>
        <v>630</v>
      </c>
    </row>
    <row r="59" spans="1:36" x14ac:dyDescent="0.25">
      <c r="A59" s="16"/>
      <c r="B59" s="2"/>
      <c r="C59" s="8">
        <v>10</v>
      </c>
      <c r="D59" s="11">
        <v>2</v>
      </c>
      <c r="E59" s="10">
        <v>1</v>
      </c>
      <c r="F59" s="10"/>
      <c r="G59" s="10"/>
      <c r="H59" s="10">
        <v>1</v>
      </c>
      <c r="I59" s="10">
        <v>1</v>
      </c>
      <c r="J59" s="10">
        <v>1</v>
      </c>
      <c r="K59" s="10">
        <v>1</v>
      </c>
      <c r="L59" s="10">
        <v>1</v>
      </c>
      <c r="M59" s="10"/>
      <c r="N59" s="10"/>
      <c r="O59" s="10">
        <v>1</v>
      </c>
      <c r="P59" s="10">
        <v>1</v>
      </c>
      <c r="Q59" s="10">
        <v>1</v>
      </c>
      <c r="R59" s="10">
        <v>1</v>
      </c>
      <c r="S59" s="10">
        <v>1</v>
      </c>
      <c r="T59" s="10"/>
      <c r="U59" s="10"/>
      <c r="V59" s="10">
        <v>1</v>
      </c>
      <c r="W59" s="10">
        <v>1</v>
      </c>
      <c r="X59" s="10">
        <v>1</v>
      </c>
      <c r="Y59" s="10">
        <v>1</v>
      </c>
      <c r="Z59" s="10">
        <v>1</v>
      </c>
      <c r="AA59" s="10"/>
      <c r="AB59" s="10"/>
      <c r="AC59" s="10">
        <v>1</v>
      </c>
      <c r="AD59" s="10">
        <v>1</v>
      </c>
      <c r="AE59" s="10">
        <v>1</v>
      </c>
      <c r="AF59" s="10">
        <v>1</v>
      </c>
      <c r="AG59" s="10">
        <v>1</v>
      </c>
      <c r="AH59" s="10"/>
      <c r="AI59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59" s="5" t="str">
        <f ca="1">IF(Сентябрь[[#This Row],[УСЛУГ]]&lt;&gt;"",Сентябрь[[#This Row],[УСЛУГ]]*Сентябрь[[#This Row],[Периодичность]],"")</f>
        <v/>
      </c>
    </row>
    <row r="60" spans="1:36" x14ac:dyDescent="0.25">
      <c r="A60" s="16"/>
      <c r="B60" s="2"/>
      <c r="C60" s="8">
        <v>10</v>
      </c>
      <c r="D60" s="11">
        <v>3</v>
      </c>
      <c r="E60" s="10">
        <v>1</v>
      </c>
      <c r="F60" s="10"/>
      <c r="G60" s="10"/>
      <c r="H60" s="10">
        <v>1</v>
      </c>
      <c r="I60" s="10">
        <v>1</v>
      </c>
      <c r="J60" s="10">
        <v>1</v>
      </c>
      <c r="K60" s="10">
        <v>1</v>
      </c>
      <c r="L60" s="10">
        <v>1</v>
      </c>
      <c r="M60" s="10"/>
      <c r="N60" s="10"/>
      <c r="O60" s="10">
        <v>1</v>
      </c>
      <c r="P60" s="10">
        <v>1</v>
      </c>
      <c r="Q60" s="10">
        <v>1</v>
      </c>
      <c r="R60" s="10">
        <v>1</v>
      </c>
      <c r="S60" s="10">
        <v>1</v>
      </c>
      <c r="T60" s="10"/>
      <c r="U60" s="10"/>
      <c r="V60" s="10">
        <v>1</v>
      </c>
      <c r="W60" s="10">
        <v>1</v>
      </c>
      <c r="X60" s="10">
        <v>1</v>
      </c>
      <c r="Y60" s="10">
        <v>1</v>
      </c>
      <c r="Z60" s="10">
        <v>1</v>
      </c>
      <c r="AA60" s="10"/>
      <c r="AB60" s="10"/>
      <c r="AC60" s="10">
        <v>1</v>
      </c>
      <c r="AD60" s="10">
        <v>1</v>
      </c>
      <c r="AE60" s="10">
        <v>1</v>
      </c>
      <c r="AF60" s="10">
        <v>1</v>
      </c>
      <c r="AG60" s="10">
        <v>1</v>
      </c>
      <c r="AH60" s="10"/>
      <c r="AI60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60" s="5" t="str">
        <f ca="1">IF(Сентябрь[[#This Row],[УСЛУГ]]&lt;&gt;"",Сентябрь[[#This Row],[УСЛУГ]]*Сентябрь[[#This Row],[Периодичность]],"")</f>
        <v/>
      </c>
    </row>
    <row r="61" spans="1:36" ht="47.25" x14ac:dyDescent="0.25">
      <c r="A61" s="16" t="s">
        <v>82</v>
      </c>
      <c r="B61" s="2" t="s">
        <v>59</v>
      </c>
      <c r="C61" s="8">
        <v>10</v>
      </c>
      <c r="D61" s="11">
        <v>1</v>
      </c>
      <c r="E61" s="10">
        <v>1</v>
      </c>
      <c r="F61" s="10"/>
      <c r="G61" s="10"/>
      <c r="H61" s="10">
        <v>1</v>
      </c>
      <c r="I61" s="10">
        <v>1</v>
      </c>
      <c r="J61" s="10">
        <v>1</v>
      </c>
      <c r="K61" s="10">
        <v>1</v>
      </c>
      <c r="L61" s="10">
        <v>1</v>
      </c>
      <c r="M61" s="10"/>
      <c r="N61" s="10"/>
      <c r="O61" s="10">
        <v>1</v>
      </c>
      <c r="P61" s="10">
        <v>1</v>
      </c>
      <c r="Q61" s="10">
        <v>1</v>
      </c>
      <c r="R61" s="10">
        <v>1</v>
      </c>
      <c r="S61" s="10">
        <v>1</v>
      </c>
      <c r="T61" s="10"/>
      <c r="U61" s="10"/>
      <c r="V61" s="10">
        <v>1</v>
      </c>
      <c r="W61" s="10">
        <v>1</v>
      </c>
      <c r="X61" s="10">
        <v>1</v>
      </c>
      <c r="Y61" s="10">
        <v>1</v>
      </c>
      <c r="Z61" s="10">
        <v>1</v>
      </c>
      <c r="AA61" s="10"/>
      <c r="AB61" s="10"/>
      <c r="AC61" s="10">
        <v>1</v>
      </c>
      <c r="AD61" s="10">
        <v>1</v>
      </c>
      <c r="AE61" s="10">
        <v>1</v>
      </c>
      <c r="AF61" s="10">
        <v>1</v>
      </c>
      <c r="AG61" s="10">
        <v>1</v>
      </c>
      <c r="AH61" s="10"/>
      <c r="AI61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21</v>
      </c>
      <c r="AJ61" s="5">
        <f ca="1">IF(Сентябрь[[#This Row],[УСЛУГ]]&lt;&gt;"",Сентябрь[[#This Row],[УСЛУГ]]*Сентябрь[[#This Row],[Периодичность]],"")</f>
        <v>210</v>
      </c>
    </row>
    <row r="62" spans="1:36" x14ac:dyDescent="0.25">
      <c r="A62" s="16"/>
      <c r="B62" s="2"/>
      <c r="C62" s="8">
        <v>10</v>
      </c>
      <c r="D62" s="11">
        <v>2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62" s="5" t="str">
        <f ca="1">IF(Сентябрь[[#This Row],[УСЛУГ]]&lt;&gt;"",Сентябрь[[#This Row],[УСЛУГ]]*Сентябрь[[#This Row],[Периодичность]],"")</f>
        <v/>
      </c>
    </row>
    <row r="63" spans="1:36" x14ac:dyDescent="0.25">
      <c r="A63" s="16"/>
      <c r="B63" s="2"/>
      <c r="C63" s="8">
        <v>10</v>
      </c>
      <c r="D63" s="11">
        <v>3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63" s="5" t="str">
        <f ca="1">IF(Сентябрь[[#This Row],[УСЛУГ]]&lt;&gt;"",Сентябрь[[#This Row],[УСЛУГ]]*Сентябрь[[#This Row],[Периодичность]],"")</f>
        <v/>
      </c>
    </row>
    <row r="64" spans="1:36" ht="31.5" x14ac:dyDescent="0.25">
      <c r="A64" s="16" t="s">
        <v>37</v>
      </c>
      <c r="B64" s="2" t="s">
        <v>60</v>
      </c>
      <c r="C64" s="8">
        <v>5</v>
      </c>
      <c r="D64" s="11">
        <v>1</v>
      </c>
      <c r="E64" s="10">
        <v>1</v>
      </c>
      <c r="F64" s="10"/>
      <c r="G64" s="10"/>
      <c r="H64" s="10">
        <v>1</v>
      </c>
      <c r="I64" s="10">
        <v>1</v>
      </c>
      <c r="J64" s="10">
        <v>1</v>
      </c>
      <c r="K64" s="10">
        <v>1</v>
      </c>
      <c r="L64" s="10">
        <v>1</v>
      </c>
      <c r="M64" s="10"/>
      <c r="N64" s="10"/>
      <c r="O64" s="10">
        <v>1</v>
      </c>
      <c r="P64" s="10">
        <v>1</v>
      </c>
      <c r="Q64" s="10">
        <v>1</v>
      </c>
      <c r="R64" s="10">
        <v>1</v>
      </c>
      <c r="S64" s="10">
        <v>1</v>
      </c>
      <c r="T64" s="10"/>
      <c r="U64" s="10"/>
      <c r="V64" s="10">
        <v>1</v>
      </c>
      <c r="W64" s="10">
        <v>1</v>
      </c>
      <c r="X64" s="10">
        <v>1</v>
      </c>
      <c r="Y64" s="10">
        <v>1</v>
      </c>
      <c r="Z64" s="10">
        <v>1</v>
      </c>
      <c r="AA64" s="10"/>
      <c r="AB64" s="10"/>
      <c r="AC64" s="10">
        <v>1</v>
      </c>
      <c r="AD64" s="10">
        <v>1</v>
      </c>
      <c r="AE64" s="10">
        <v>1</v>
      </c>
      <c r="AF64" s="10">
        <v>1</v>
      </c>
      <c r="AG64" s="10">
        <v>1</v>
      </c>
      <c r="AH64" s="10"/>
      <c r="AI64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42</v>
      </c>
      <c r="AJ64" s="5">
        <f ca="1">IF(Сентябрь[[#This Row],[УСЛУГ]]&lt;&gt;"",Сентябрь[[#This Row],[УСЛУГ]]*Сентябрь[[#This Row],[Периодичность]],"")</f>
        <v>210</v>
      </c>
    </row>
    <row r="65" spans="1:36" x14ac:dyDescent="0.25">
      <c r="A65" s="16"/>
      <c r="B65" s="2"/>
      <c r="C65" s="8">
        <v>5</v>
      </c>
      <c r="D65" s="11">
        <v>2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65" s="5" t="str">
        <f ca="1">IF(Сентябрь[[#This Row],[УСЛУГ]]&lt;&gt;"",Сентябрь[[#This Row],[УСЛУГ]]*Сентябрь[[#This Row],[Периодичность]],"")</f>
        <v/>
      </c>
    </row>
    <row r="66" spans="1:36" x14ac:dyDescent="0.25">
      <c r="A66" s="16"/>
      <c r="B66" s="2"/>
      <c r="C66" s="8">
        <v>5</v>
      </c>
      <c r="D66" s="11">
        <v>3</v>
      </c>
      <c r="E66" s="10">
        <v>1</v>
      </c>
      <c r="F66" s="10"/>
      <c r="G66" s="10"/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/>
      <c r="N66" s="10"/>
      <c r="O66" s="10">
        <v>1</v>
      </c>
      <c r="P66" s="10">
        <v>1</v>
      </c>
      <c r="Q66" s="10">
        <v>1</v>
      </c>
      <c r="R66" s="10">
        <v>1</v>
      </c>
      <c r="S66" s="10">
        <v>1</v>
      </c>
      <c r="T66" s="10"/>
      <c r="U66" s="10"/>
      <c r="V66" s="10">
        <v>1</v>
      </c>
      <c r="W66" s="10">
        <v>1</v>
      </c>
      <c r="X66" s="10">
        <v>1</v>
      </c>
      <c r="Y66" s="10">
        <v>1</v>
      </c>
      <c r="Z66" s="10">
        <v>1</v>
      </c>
      <c r="AA66" s="10"/>
      <c r="AB66" s="10"/>
      <c r="AC66" s="10">
        <v>1</v>
      </c>
      <c r="AD66" s="10">
        <v>1</v>
      </c>
      <c r="AE66" s="10">
        <v>1</v>
      </c>
      <c r="AF66" s="10">
        <v>1</v>
      </c>
      <c r="AG66" s="10">
        <v>1</v>
      </c>
      <c r="AH66" s="10"/>
      <c r="AI66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66" s="5" t="str">
        <f ca="1">IF(Сентябрь[[#This Row],[УСЛУГ]]&lt;&gt;"",Сентябрь[[#This Row],[УСЛУГ]]*Сентябрь[[#This Row],[Периодичность]],"")</f>
        <v/>
      </c>
    </row>
    <row r="67" spans="1:36" x14ac:dyDescent="0.25">
      <c r="A67" s="16" t="s">
        <v>38</v>
      </c>
      <c r="B67" s="2" t="s">
        <v>59</v>
      </c>
      <c r="C67" s="8">
        <v>7</v>
      </c>
      <c r="D67" s="11">
        <v>1</v>
      </c>
      <c r="E67" s="10">
        <v>1</v>
      </c>
      <c r="F67" s="10"/>
      <c r="G67" s="10"/>
      <c r="H67" s="10">
        <v>1</v>
      </c>
      <c r="I67" s="10">
        <v>1</v>
      </c>
      <c r="J67" s="10">
        <v>1</v>
      </c>
      <c r="K67" s="10">
        <v>1</v>
      </c>
      <c r="L67" s="10">
        <v>1</v>
      </c>
      <c r="M67" s="10"/>
      <c r="N67" s="10"/>
      <c r="O67" s="10">
        <v>1</v>
      </c>
      <c r="P67" s="10">
        <v>1</v>
      </c>
      <c r="Q67" s="10">
        <v>1</v>
      </c>
      <c r="R67" s="10">
        <v>1</v>
      </c>
      <c r="S67" s="10">
        <v>1</v>
      </c>
      <c r="T67" s="10"/>
      <c r="U67" s="10"/>
      <c r="V67" s="10">
        <v>1</v>
      </c>
      <c r="W67" s="10">
        <v>1</v>
      </c>
      <c r="X67" s="10">
        <v>1</v>
      </c>
      <c r="Y67" s="10">
        <v>1</v>
      </c>
      <c r="Z67" s="10">
        <v>1</v>
      </c>
      <c r="AA67" s="10"/>
      <c r="AB67" s="10"/>
      <c r="AC67" s="10">
        <v>1</v>
      </c>
      <c r="AD67" s="10">
        <v>1</v>
      </c>
      <c r="AE67" s="10">
        <v>1</v>
      </c>
      <c r="AF67" s="10">
        <v>1</v>
      </c>
      <c r="AG67" s="10">
        <v>1</v>
      </c>
      <c r="AH67" s="10"/>
      <c r="AI67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21</v>
      </c>
      <c r="AJ67" s="5">
        <f ca="1">IF(Сентябрь[[#This Row],[УСЛУГ]]&lt;&gt;"",Сентябрь[[#This Row],[УСЛУГ]]*Сентябрь[[#This Row],[Периодичность]],"")</f>
        <v>147</v>
      </c>
    </row>
    <row r="68" spans="1:36" x14ac:dyDescent="0.25">
      <c r="A68" s="16"/>
      <c r="B68" s="2"/>
      <c r="C68" s="8">
        <v>7</v>
      </c>
      <c r="D68" s="11">
        <v>2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68" s="5" t="str">
        <f ca="1">IF(Сентябрь[[#This Row],[УСЛУГ]]&lt;&gt;"",Сентябрь[[#This Row],[УСЛУГ]]*Сентябрь[[#This Row],[Периодичность]],"")</f>
        <v/>
      </c>
    </row>
    <row r="69" spans="1:36" x14ac:dyDescent="0.25">
      <c r="A69" s="16"/>
      <c r="B69" s="2"/>
      <c r="C69" s="8">
        <v>7</v>
      </c>
      <c r="D69" s="11">
        <v>3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69" s="5" t="str">
        <f ca="1">IF(Сентябрь[[#This Row],[УСЛУГ]]&lt;&gt;"",Сентябрь[[#This Row],[УСЛУГ]]*Сентябрь[[#This Row],[Периодичность]],"")</f>
        <v/>
      </c>
    </row>
    <row r="70" spans="1:36" ht="47.25" x14ac:dyDescent="0.25">
      <c r="A70" s="16" t="s">
        <v>81</v>
      </c>
      <c r="B70" s="2" t="s">
        <v>59</v>
      </c>
      <c r="C70" s="8">
        <v>5</v>
      </c>
      <c r="D70" s="11">
        <v>1</v>
      </c>
      <c r="E70" s="10">
        <v>1</v>
      </c>
      <c r="F70" s="10"/>
      <c r="G70" s="10"/>
      <c r="H70" s="10">
        <v>1</v>
      </c>
      <c r="I70" s="10"/>
      <c r="J70" s="10">
        <v>1</v>
      </c>
      <c r="K70" s="10"/>
      <c r="L70" s="10">
        <v>1</v>
      </c>
      <c r="M70" s="10"/>
      <c r="N70" s="10"/>
      <c r="O70" s="10">
        <v>1</v>
      </c>
      <c r="P70" s="10"/>
      <c r="Q70" s="10">
        <v>1</v>
      </c>
      <c r="R70" s="10"/>
      <c r="S70" s="10">
        <v>1</v>
      </c>
      <c r="T70" s="10"/>
      <c r="U70" s="10"/>
      <c r="V70" s="10">
        <v>1</v>
      </c>
      <c r="W70" s="10"/>
      <c r="X70" s="10">
        <v>1</v>
      </c>
      <c r="Y70" s="10"/>
      <c r="Z70" s="10">
        <v>1</v>
      </c>
      <c r="AA70" s="10"/>
      <c r="AB70" s="10"/>
      <c r="AC70" s="10">
        <v>1</v>
      </c>
      <c r="AD70" s="10"/>
      <c r="AE70" s="10">
        <v>1</v>
      </c>
      <c r="AF70" s="10"/>
      <c r="AG70" s="10">
        <v>1</v>
      </c>
      <c r="AH70" s="10"/>
      <c r="AI70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13</v>
      </c>
      <c r="AJ70" s="5">
        <f ca="1">IF(Сентябрь[[#This Row],[УСЛУГ]]&lt;&gt;"",Сентябрь[[#This Row],[УСЛУГ]]*Сентябрь[[#This Row],[Периодичность]],"")</f>
        <v>65</v>
      </c>
    </row>
    <row r="71" spans="1:36" x14ac:dyDescent="0.25">
      <c r="A71" s="16"/>
      <c r="B71" s="2"/>
      <c r="C71" s="8">
        <v>5</v>
      </c>
      <c r="D71" s="11">
        <v>2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71" s="5" t="str">
        <f ca="1">IF(Сентябрь[[#This Row],[УСЛУГ]]&lt;&gt;"",Сентябрь[[#This Row],[УСЛУГ]]*Сентябрь[[#This Row],[Периодичность]],"")</f>
        <v/>
      </c>
    </row>
    <row r="72" spans="1:36" x14ac:dyDescent="0.25">
      <c r="A72" s="16"/>
      <c r="B72" s="2"/>
      <c r="C72" s="8">
        <v>5</v>
      </c>
      <c r="D72" s="11">
        <v>3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72" s="5" t="str">
        <f ca="1">IF(Сентябрь[[#This Row],[УСЛУГ]]&lt;&gt;"",Сентябрь[[#This Row],[УСЛУГ]]*Сентябрь[[#This Row],[Периодичность]],"")</f>
        <v/>
      </c>
    </row>
    <row r="73" spans="1:36" ht="47.25" x14ac:dyDescent="0.25">
      <c r="A73" s="16" t="s">
        <v>80</v>
      </c>
      <c r="B73" s="2" t="s">
        <v>59</v>
      </c>
      <c r="C73" s="8">
        <v>5</v>
      </c>
      <c r="D73" s="11">
        <v>1</v>
      </c>
      <c r="E73" s="10">
        <v>1</v>
      </c>
      <c r="F73" s="10"/>
      <c r="G73" s="10"/>
      <c r="H73" s="10">
        <v>1</v>
      </c>
      <c r="I73" s="10"/>
      <c r="J73" s="10">
        <v>1</v>
      </c>
      <c r="K73" s="10"/>
      <c r="L73" s="10">
        <v>1</v>
      </c>
      <c r="M73" s="10"/>
      <c r="N73" s="10"/>
      <c r="O73" s="10">
        <v>1</v>
      </c>
      <c r="P73" s="10"/>
      <c r="Q73" s="10">
        <v>1</v>
      </c>
      <c r="R73" s="10"/>
      <c r="S73" s="10">
        <v>1</v>
      </c>
      <c r="T73" s="10"/>
      <c r="U73" s="10"/>
      <c r="V73" s="10">
        <v>1</v>
      </c>
      <c r="W73" s="10"/>
      <c r="X73" s="10">
        <v>1</v>
      </c>
      <c r="Y73" s="10"/>
      <c r="Z73" s="10">
        <v>1</v>
      </c>
      <c r="AA73" s="10"/>
      <c r="AB73" s="10"/>
      <c r="AC73" s="10">
        <v>1</v>
      </c>
      <c r="AD73" s="10"/>
      <c r="AE73" s="10">
        <v>1</v>
      </c>
      <c r="AF73" s="10"/>
      <c r="AG73" s="10">
        <v>1</v>
      </c>
      <c r="AH73" s="10"/>
      <c r="AI73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13</v>
      </c>
      <c r="AJ73" s="5">
        <f ca="1">IF(Сентябрь[[#This Row],[УСЛУГ]]&lt;&gt;"",Сентябрь[[#This Row],[УСЛУГ]]*Сентябрь[[#This Row],[Периодичность]],"")</f>
        <v>65</v>
      </c>
    </row>
    <row r="74" spans="1:36" x14ac:dyDescent="0.25">
      <c r="A74" s="16"/>
      <c r="B74" s="2"/>
      <c r="C74" s="8">
        <v>5</v>
      </c>
      <c r="D74" s="11">
        <v>2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74" s="5" t="str">
        <f ca="1">IF(Сентябрь[[#This Row],[УСЛУГ]]&lt;&gt;"",Сентябрь[[#This Row],[УСЛУГ]]*Сентябрь[[#This Row],[Периодичность]],"")</f>
        <v/>
      </c>
    </row>
    <row r="75" spans="1:36" x14ac:dyDescent="0.25">
      <c r="A75" s="16"/>
      <c r="B75" s="2"/>
      <c r="C75" s="8">
        <v>5</v>
      </c>
      <c r="D75" s="11">
        <v>3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75" s="5" t="str">
        <f ca="1">IF(Сентябрь[[#This Row],[УСЛУГ]]&lt;&gt;"",Сентябрь[[#This Row],[УСЛУГ]]*Сентябрь[[#This Row],[Периодичность]],"")</f>
        <v/>
      </c>
    </row>
    <row r="76" spans="1:36" ht="47.25" x14ac:dyDescent="0.25">
      <c r="A76" s="16" t="s">
        <v>79</v>
      </c>
      <c r="B76" s="2" t="s">
        <v>57</v>
      </c>
      <c r="C76" s="8">
        <v>45</v>
      </c>
      <c r="D76" s="11">
        <v>1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9</v>
      </c>
      <c r="AJ76" s="5">
        <f ca="1">IF(Сентябрь[[#This Row],[УСЛУГ]]&lt;&gt;"",Сентябрь[[#This Row],[УСЛУГ]]*Сентябрь[[#This Row],[Периодичность]],"")</f>
        <v>405</v>
      </c>
    </row>
    <row r="77" spans="1:36" x14ac:dyDescent="0.25">
      <c r="A77" s="16"/>
      <c r="B77" s="2"/>
      <c r="C77" s="8">
        <v>45</v>
      </c>
      <c r="D77" s="11">
        <v>2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77" s="5" t="str">
        <f ca="1">IF(Сентябрь[[#This Row],[УСЛУГ]]&lt;&gt;"",Сентябрь[[#This Row],[УСЛУГ]]*Сентябрь[[#This Row],[Периодичность]],"")</f>
        <v/>
      </c>
    </row>
    <row r="78" spans="1:36" x14ac:dyDescent="0.25">
      <c r="A78" s="16"/>
      <c r="B78" s="2"/>
      <c r="C78" s="8">
        <v>45</v>
      </c>
      <c r="D78" s="11">
        <v>3</v>
      </c>
      <c r="E78" s="10">
        <v>1</v>
      </c>
      <c r="F78" s="10"/>
      <c r="G78" s="10"/>
      <c r="H78" s="10"/>
      <c r="I78" s="10">
        <v>1</v>
      </c>
      <c r="J78" s="10"/>
      <c r="K78" s="10"/>
      <c r="L78" s="10">
        <v>1</v>
      </c>
      <c r="M78" s="10"/>
      <c r="N78" s="10"/>
      <c r="O78" s="10"/>
      <c r="P78" s="10">
        <v>1</v>
      </c>
      <c r="Q78" s="10"/>
      <c r="R78" s="10"/>
      <c r="S78" s="10">
        <v>1</v>
      </c>
      <c r="T78" s="10"/>
      <c r="U78" s="10"/>
      <c r="V78" s="10"/>
      <c r="W78" s="10">
        <v>1</v>
      </c>
      <c r="X78" s="10"/>
      <c r="Y78" s="10"/>
      <c r="Z78" s="10">
        <v>1</v>
      </c>
      <c r="AA78" s="10"/>
      <c r="AB78" s="10"/>
      <c r="AC78" s="10"/>
      <c r="AD78" s="10">
        <v>1</v>
      </c>
      <c r="AE78" s="10"/>
      <c r="AF78" s="10"/>
      <c r="AG78" s="10">
        <v>1</v>
      </c>
      <c r="AH78" s="10"/>
      <c r="AI78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78" s="5" t="str">
        <f ca="1">IF(Сентябрь[[#This Row],[УСЛУГ]]&lt;&gt;"",Сентябрь[[#This Row],[УСЛУГ]]*Сентябрь[[#This Row],[Периодичность]],"")</f>
        <v/>
      </c>
    </row>
    <row r="79" spans="1:36" ht="47.25" x14ac:dyDescent="0.25">
      <c r="A79" s="16" t="s">
        <v>78</v>
      </c>
      <c r="B79" s="2" t="s">
        <v>59</v>
      </c>
      <c r="C79" s="8">
        <v>10</v>
      </c>
      <c r="D79" s="11">
        <v>1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21</v>
      </c>
      <c r="AJ79" s="5">
        <f ca="1">IF(Сентябрь[[#This Row],[УСЛУГ]]&lt;&gt;"",Сентябрь[[#This Row],[УСЛУГ]]*Сентябрь[[#This Row],[Периодичность]],"")</f>
        <v>210</v>
      </c>
    </row>
    <row r="80" spans="1:36" x14ac:dyDescent="0.25">
      <c r="A80" s="16"/>
      <c r="B80" s="2"/>
      <c r="C80" s="8">
        <v>10</v>
      </c>
      <c r="D80" s="11">
        <v>2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80" s="5" t="str">
        <f ca="1">IF(Сентябрь[[#This Row],[УСЛУГ]]&lt;&gt;"",Сентябрь[[#This Row],[УСЛУГ]]*Сентябрь[[#This Row],[Периодичность]],"")</f>
        <v/>
      </c>
    </row>
    <row r="81" spans="1:36" x14ac:dyDescent="0.25">
      <c r="A81" s="16"/>
      <c r="B81" s="2"/>
      <c r="C81" s="8">
        <v>10</v>
      </c>
      <c r="D81" s="11">
        <v>3</v>
      </c>
      <c r="E81" s="10">
        <v>1</v>
      </c>
      <c r="F81" s="10"/>
      <c r="G81" s="10"/>
      <c r="H81" s="10">
        <v>1</v>
      </c>
      <c r="I81" s="10">
        <v>1</v>
      </c>
      <c r="J81" s="10">
        <v>1</v>
      </c>
      <c r="K81" s="10">
        <v>1</v>
      </c>
      <c r="L81" s="10">
        <v>1</v>
      </c>
      <c r="M81" s="10"/>
      <c r="N81" s="10"/>
      <c r="O81" s="10">
        <v>1</v>
      </c>
      <c r="P81" s="10">
        <v>1</v>
      </c>
      <c r="Q81" s="10">
        <v>1</v>
      </c>
      <c r="R81" s="10">
        <v>1</v>
      </c>
      <c r="S81" s="10">
        <v>1</v>
      </c>
      <c r="T81" s="10"/>
      <c r="U81" s="10"/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/>
      <c r="AB81" s="10"/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/>
      <c r="AI81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81" s="5" t="str">
        <f ca="1">IF(Сентябрь[[#This Row],[УСЛУГ]]&lt;&gt;"",Сентябрь[[#This Row],[УСЛУГ]]*Сентябрь[[#This Row],[Периодичность]],"")</f>
        <v/>
      </c>
    </row>
    <row r="84" spans="1:36" x14ac:dyDescent="0.25">
      <c r="A84" s="34"/>
      <c r="B84" s="34"/>
      <c r="C84" s="34"/>
    </row>
    <row r="85" spans="1:36" x14ac:dyDescent="0.25">
      <c r="A85" s="35"/>
      <c r="B85" s="36"/>
      <c r="C85" s="36"/>
    </row>
    <row r="86" spans="1:36" x14ac:dyDescent="0.25">
      <c r="A86" s="35"/>
      <c r="B86" s="36"/>
      <c r="C86" s="36"/>
    </row>
    <row r="87" spans="1:36" x14ac:dyDescent="0.25">
      <c r="A87" s="35"/>
      <c r="B87" s="36"/>
      <c r="C87" s="36"/>
    </row>
    <row r="88" spans="1:36" x14ac:dyDescent="0.25">
      <c r="A88" s="35"/>
      <c r="B88" s="36"/>
      <c r="C88" s="36"/>
    </row>
    <row r="89" spans="1:36" x14ac:dyDescent="0.25">
      <c r="A89" s="35"/>
      <c r="B89" s="36"/>
      <c r="C89" s="36"/>
    </row>
    <row r="90" spans="1:36" x14ac:dyDescent="0.25">
      <c r="A90" s="35"/>
      <c r="B90" s="36"/>
      <c r="C90" s="36"/>
    </row>
    <row r="91" spans="1:36" x14ac:dyDescent="0.25">
      <c r="A91" s="35"/>
      <c r="B91" s="36"/>
      <c r="C91" s="36"/>
    </row>
    <row r="92" spans="1:36" x14ac:dyDescent="0.25">
      <c r="A92" s="35"/>
      <c r="B92" s="36"/>
      <c r="C92" s="36"/>
    </row>
    <row r="93" spans="1:36" x14ac:dyDescent="0.25">
      <c r="A93" s="35"/>
      <c r="B93" s="36"/>
      <c r="C93" s="36"/>
    </row>
    <row r="94" spans="1:36" x14ac:dyDescent="0.25">
      <c r="A94" s="35"/>
      <c r="B94" s="36"/>
      <c r="C94" s="36"/>
    </row>
    <row r="95" spans="1:36" x14ac:dyDescent="0.25">
      <c r="A95" s="35"/>
      <c r="B95" s="36"/>
      <c r="C95" s="36"/>
    </row>
    <row r="96" spans="1:36" x14ac:dyDescent="0.25">
      <c r="A96" s="35"/>
      <c r="B96" s="36"/>
      <c r="C96" s="36"/>
    </row>
    <row r="97" spans="1:3" x14ac:dyDescent="0.25">
      <c r="A97" s="35"/>
      <c r="B97" s="36"/>
      <c r="C97" s="36"/>
    </row>
    <row r="98" spans="1:3" x14ac:dyDescent="0.25">
      <c r="A98" s="35"/>
      <c r="B98" s="36"/>
      <c r="C98" s="36"/>
    </row>
    <row r="99" spans="1:3" x14ac:dyDescent="0.25">
      <c r="A99" s="35"/>
      <c r="B99" s="36"/>
      <c r="C99" s="36"/>
    </row>
    <row r="100" spans="1:3" x14ac:dyDescent="0.25">
      <c r="A100" s="35"/>
      <c r="B100" s="36"/>
      <c r="C100" s="36"/>
    </row>
    <row r="101" spans="1:3" x14ac:dyDescent="0.25">
      <c r="A101" s="35"/>
      <c r="B101" s="36"/>
      <c r="C101" s="36"/>
    </row>
    <row r="102" spans="1:3" x14ac:dyDescent="0.25">
      <c r="A102" s="35"/>
      <c r="B102" s="36"/>
      <c r="C102" s="36"/>
    </row>
    <row r="103" spans="1:3" x14ac:dyDescent="0.25">
      <c r="A103" s="35"/>
      <c r="B103" s="36"/>
      <c r="C103" s="36"/>
    </row>
    <row r="104" spans="1:3" x14ac:dyDescent="0.25">
      <c r="A104" s="35"/>
      <c r="B104" s="36"/>
      <c r="C104" s="36"/>
    </row>
    <row r="105" spans="1:3" x14ac:dyDescent="0.25">
      <c r="A105" s="34"/>
      <c r="B105" s="34"/>
      <c r="C105" s="34"/>
    </row>
  </sheetData>
  <mergeCells count="20">
    <mergeCell ref="A2:AJ2"/>
    <mergeCell ref="A3:AJ3"/>
    <mergeCell ref="J4:L4"/>
    <mergeCell ref="M5:Q5"/>
    <mergeCell ref="M4:U4"/>
    <mergeCell ref="E22:AH23"/>
    <mergeCell ref="AJ19:AJ23"/>
    <mergeCell ref="A7:A11"/>
    <mergeCell ref="D7:D11"/>
    <mergeCell ref="A19:A23"/>
    <mergeCell ref="B19:C23"/>
    <mergeCell ref="D19:D23"/>
    <mergeCell ref="AI19:AI23"/>
    <mergeCell ref="B7:B11"/>
    <mergeCell ref="C7:C11"/>
    <mergeCell ref="AI7:AI11"/>
    <mergeCell ref="E19:AH20"/>
    <mergeCell ref="AJ7:AJ11"/>
    <mergeCell ref="E10:AH11"/>
    <mergeCell ref="E7:AH8"/>
  </mergeCells>
  <conditionalFormatting sqref="E9:AH9">
    <cfRule type="expression" dxfId="391" priority="4">
      <formula>WEEKDAY(E13:AH13,2)&gt;5</formula>
    </cfRule>
  </conditionalFormatting>
  <conditionalFormatting sqref="E21:AH21">
    <cfRule type="expression" dxfId="390" priority="2">
      <formula>WEEKDAY(E21:AH21,2)&gt;5</formula>
    </cfRule>
  </conditionalFormatting>
  <dataValidations count="2">
    <dataValidation type="list" allowBlank="1" showInputMessage="1" showErrorMessage="1" sqref="A25:A81">
      <formula1>INDIRECT("Услуги[Кратко]")</formula1>
    </dataValidation>
    <dataValidation type="list" allowBlank="1" showInputMessage="1" showErrorMessage="1" sqref="D25:D81">
      <formula1>INDIRECT("Посещения")</formula1>
    </dataValidation>
  </dataValidations>
  <pageMargins left="0.25" right="0.25" top="0.75" bottom="0.75" header="0.3" footer="0.3"/>
  <pageSetup paperSize="9" scale="52" fitToHeight="0" orientation="landscape" horizontalDpi="300" verticalDpi="300" r:id="rId1"/>
  <ignoredErrors>
    <ignoredError sqref="E16:AH17 E13:E15 C25 C28 B13:B17 C26:C27 C79 C76 C73 C70 C67 C64 C61 C58 C55 C52 C49 C46 C43 C40 C37 C34 C31 C29:C30 C32:C33 C35:C36 C38:C39 C41:C42 C44:C45 C47:C48 C50:C51 C53:C54 C56:C57 C59:C60 C62:C63 C65:C66 C68:C69 C71:C72 C74:C75 C77:C78 C80:C81" calculatedColumn="1"/>
  </ignoredErrors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81"/>
  <sheetViews>
    <sheetView zoomScale="80" zoomScaleNormal="80" workbookViewId="0">
      <selection activeCell="B5" sqref="B5"/>
    </sheetView>
  </sheetViews>
  <sheetFormatPr defaultRowHeight="15.75" x14ac:dyDescent="0.25"/>
  <cols>
    <col min="1" max="1" width="21.42578125" style="3" customWidth="1"/>
    <col min="2" max="2" width="14.28515625" style="3" customWidth="1"/>
    <col min="3" max="3" width="17.7109375" style="3" customWidth="1"/>
    <col min="4" max="4" width="9.28515625" style="3" customWidth="1"/>
    <col min="5" max="5" width="6.85546875" style="3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8" ht="18.75" x14ac:dyDescent="0.25">
      <c r="A2" s="60" t="s">
        <v>72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</row>
    <row r="3" spans="1:38" ht="18.75" x14ac:dyDescent="0.25">
      <c r="A3" s="60" t="s">
        <v>73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</row>
    <row r="4" spans="1:38" ht="18.75" x14ac:dyDescent="0.25">
      <c r="I4" s="13"/>
      <c r="J4" s="61" t="s">
        <v>74</v>
      </c>
      <c r="K4" s="61"/>
      <c r="L4" s="61"/>
      <c r="M4" s="62"/>
      <c r="N4" s="54"/>
      <c r="O4" s="54"/>
      <c r="P4" s="54"/>
      <c r="Q4" s="54"/>
      <c r="R4" s="54"/>
      <c r="S4" s="54"/>
      <c r="T4" s="54"/>
      <c r="U4" s="54"/>
    </row>
    <row r="5" spans="1:38" ht="18.75" x14ac:dyDescent="0.25">
      <c r="L5" s="12" t="s">
        <v>75</v>
      </c>
      <c r="M5" s="63" t="s">
        <v>143</v>
      </c>
      <c r="N5" s="64"/>
      <c r="O5" s="64"/>
      <c r="P5" s="64"/>
      <c r="Q5" s="64"/>
      <c r="R5" s="37">
        <f>Год[Год]</f>
        <v>2023</v>
      </c>
      <c r="S5" s="38" t="s">
        <v>138</v>
      </c>
      <c r="T5" s="14"/>
      <c r="U5" s="14"/>
    </row>
    <row r="6" spans="1:38" ht="17.25" customHeight="1" x14ac:dyDescent="0.25"/>
    <row r="7" spans="1:38" ht="26.25" customHeight="1" x14ac:dyDescent="0.25">
      <c r="A7" s="49"/>
      <c r="B7" s="57" t="s">
        <v>121</v>
      </c>
      <c r="C7" s="57" t="s">
        <v>120</v>
      </c>
      <c r="D7" s="58" t="s">
        <v>67</v>
      </c>
      <c r="E7" s="43" t="s">
        <v>55</v>
      </c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5"/>
      <c r="AJ7" s="39" t="s">
        <v>70</v>
      </c>
      <c r="AK7" s="40" t="s">
        <v>70</v>
      </c>
    </row>
    <row r="8" spans="1:38" x14ac:dyDescent="0.25">
      <c r="A8" s="49"/>
      <c r="B8" s="52"/>
      <c r="C8" s="52"/>
      <c r="D8" s="59"/>
      <c r="E8" s="53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5"/>
      <c r="AJ8" s="39"/>
      <c r="AK8" s="41"/>
    </row>
    <row r="9" spans="1:38" x14ac:dyDescent="0.25">
      <c r="A9" s="49"/>
      <c r="B9" s="52"/>
      <c r="C9" s="52"/>
      <c r="D9" s="59"/>
      <c r="E9" s="23">
        <f>Настройки!E16</f>
        <v>45200</v>
      </c>
      <c r="F9" s="23">
        <f>Настройки!F16</f>
        <v>45201</v>
      </c>
      <c r="G9" s="23">
        <f>Настройки!G16</f>
        <v>45202</v>
      </c>
      <c r="H9" s="23">
        <f>Настройки!H16</f>
        <v>45203</v>
      </c>
      <c r="I9" s="23">
        <f>Настройки!I16</f>
        <v>45204</v>
      </c>
      <c r="J9" s="23">
        <f>Настройки!J16</f>
        <v>45205</v>
      </c>
      <c r="K9" s="23">
        <f>Настройки!K16</f>
        <v>45206</v>
      </c>
      <c r="L9" s="23">
        <f>Настройки!L16</f>
        <v>45207</v>
      </c>
      <c r="M9" s="23">
        <f>Настройки!M16</f>
        <v>45208</v>
      </c>
      <c r="N9" s="23">
        <f>Настройки!N16</f>
        <v>45209</v>
      </c>
      <c r="O9" s="23">
        <f>Настройки!O16</f>
        <v>45210</v>
      </c>
      <c r="P9" s="23">
        <f>Настройки!P16</f>
        <v>45211</v>
      </c>
      <c r="Q9" s="23">
        <f>Настройки!Q16</f>
        <v>45212</v>
      </c>
      <c r="R9" s="23">
        <f>Настройки!R16</f>
        <v>45213</v>
      </c>
      <c r="S9" s="23">
        <f>Настройки!S16</f>
        <v>45214</v>
      </c>
      <c r="T9" s="23">
        <f>Настройки!T16</f>
        <v>45215</v>
      </c>
      <c r="U9" s="23">
        <f>Настройки!U16</f>
        <v>45216</v>
      </c>
      <c r="V9" s="23">
        <f>Настройки!V16</f>
        <v>45217</v>
      </c>
      <c r="W9" s="23">
        <f>Настройки!W16</f>
        <v>45218</v>
      </c>
      <c r="X9" s="23">
        <f>Настройки!X16</f>
        <v>45219</v>
      </c>
      <c r="Y9" s="23">
        <f>Настройки!Y16</f>
        <v>45220</v>
      </c>
      <c r="Z9" s="23">
        <f>Настройки!Z16</f>
        <v>45221</v>
      </c>
      <c r="AA9" s="23">
        <f>Настройки!AA16</f>
        <v>45222</v>
      </c>
      <c r="AB9" s="23">
        <f>Настройки!AB16</f>
        <v>45223</v>
      </c>
      <c r="AC9" s="23">
        <f>Настройки!AC16</f>
        <v>45224</v>
      </c>
      <c r="AD9" s="23">
        <f>Настройки!AD16</f>
        <v>45225</v>
      </c>
      <c r="AE9" s="23">
        <f>Настройки!AE16</f>
        <v>45226</v>
      </c>
      <c r="AF9" s="23">
        <f>Настройки!AF16</f>
        <v>45227</v>
      </c>
      <c r="AG9" s="23">
        <f>Настройки!AG16</f>
        <v>45228</v>
      </c>
      <c r="AH9" s="23">
        <f>Настройки!AH16</f>
        <v>45229</v>
      </c>
      <c r="AI9" s="23">
        <f>Настройки!AI16</f>
        <v>45230</v>
      </c>
      <c r="AJ9" s="39"/>
      <c r="AK9" s="41"/>
    </row>
    <row r="10" spans="1:38" x14ac:dyDescent="0.25">
      <c r="A10" s="49"/>
      <c r="B10" s="52"/>
      <c r="C10" s="52"/>
      <c r="D10" s="59"/>
      <c r="E10" s="43" t="s">
        <v>54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5"/>
      <c r="AJ10" s="39"/>
      <c r="AK10" s="41"/>
    </row>
    <row r="11" spans="1:38" x14ac:dyDescent="0.25">
      <c r="A11" s="57"/>
      <c r="B11" s="52"/>
      <c r="C11" s="52"/>
      <c r="D11" s="59"/>
      <c r="E11" s="46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8"/>
      <c r="AJ11" s="39"/>
      <c r="AK11" s="42"/>
    </row>
    <row r="12" spans="1:38" ht="22.5" customHeight="1" x14ac:dyDescent="0.25">
      <c r="A12" s="3" t="s">
        <v>88</v>
      </c>
      <c r="B12" s="3" t="s">
        <v>87</v>
      </c>
      <c r="C12" s="3" t="s">
        <v>119</v>
      </c>
      <c r="D12" s="9" t="s">
        <v>66</v>
      </c>
      <c r="E12" s="3" t="s">
        <v>89</v>
      </c>
      <c r="F12" s="3" t="s">
        <v>90</v>
      </c>
      <c r="G12" s="3" t="s">
        <v>91</v>
      </c>
      <c r="H12" s="3" t="s">
        <v>92</v>
      </c>
      <c r="I12" s="3" t="s">
        <v>93</v>
      </c>
      <c r="J12" s="3" t="s">
        <v>94</v>
      </c>
      <c r="K12" s="3" t="s">
        <v>95</v>
      </c>
      <c r="L12" s="3" t="s">
        <v>96</v>
      </c>
      <c r="M12" s="3" t="s">
        <v>97</v>
      </c>
      <c r="N12" s="3" t="s">
        <v>98</v>
      </c>
      <c r="O12" s="3" t="s">
        <v>99</v>
      </c>
      <c r="P12" s="3" t="s">
        <v>100</v>
      </c>
      <c r="Q12" s="3" t="s">
        <v>101</v>
      </c>
      <c r="R12" s="3" t="s">
        <v>102</v>
      </c>
      <c r="S12" s="3" t="s">
        <v>103</v>
      </c>
      <c r="T12" s="3" t="s">
        <v>104</v>
      </c>
      <c r="U12" s="3" t="s">
        <v>105</v>
      </c>
      <c r="V12" s="3" t="s">
        <v>106</v>
      </c>
      <c r="W12" s="3" t="s">
        <v>107</v>
      </c>
      <c r="X12" s="3" t="s">
        <v>108</v>
      </c>
      <c r="Y12" s="3" t="s">
        <v>109</v>
      </c>
      <c r="Z12" s="3" t="s">
        <v>110</v>
      </c>
      <c r="AA12" s="3" t="s">
        <v>111</v>
      </c>
      <c r="AB12" s="3" t="s">
        <v>112</v>
      </c>
      <c r="AC12" s="3" t="s">
        <v>113</v>
      </c>
      <c r="AD12" s="3" t="s">
        <v>114</v>
      </c>
      <c r="AE12" s="3" t="s">
        <v>115</v>
      </c>
      <c r="AF12" s="3" t="s">
        <v>116</v>
      </c>
      <c r="AG12" s="3" t="s">
        <v>117</v>
      </c>
      <c r="AH12" s="3" t="s">
        <v>118</v>
      </c>
      <c r="AI12" s="3" t="s">
        <v>127</v>
      </c>
      <c r="AJ12" s="3" t="s">
        <v>68</v>
      </c>
      <c r="AK12" s="3" t="s">
        <v>69</v>
      </c>
      <c r="AL12" s="4"/>
    </row>
    <row r="13" spans="1:38" x14ac:dyDescent="0.25">
      <c r="A13" s="5" t="s">
        <v>62</v>
      </c>
      <c r="B13" s="3">
        <f>SUMPRODUCT((Настройки!$E$30:$AI$30=1)*E16:AI16)</f>
        <v>0</v>
      </c>
      <c r="D13" s="5">
        <v>1</v>
      </c>
      <c r="E13" s="30">
        <f>SUMPRODUCT((Октябрь[№]=1)*Октябрь[1],Октябрь[Периодичность])</f>
        <v>0</v>
      </c>
      <c r="F13" s="30">
        <f>SUMPRODUCT((Октябрь[№]=1)*Октябрь[2],Октябрь[Периодичность])</f>
        <v>0</v>
      </c>
      <c r="G13" s="30">
        <f>SUMPRODUCT((Октябрь[№]=1)*Октябрь[3],Октябрь[Периодичность])</f>
        <v>0</v>
      </c>
      <c r="H13" s="30">
        <f>SUMPRODUCT((Октябрь[№]=1)*Октябрь[4],Октябрь[Периодичность])</f>
        <v>0</v>
      </c>
      <c r="I13" s="30">
        <f>SUMPRODUCT((Октябрь[№]=1)*Октябрь[5],Октябрь[Периодичность])</f>
        <v>0</v>
      </c>
      <c r="J13" s="30">
        <f>SUMPRODUCT((Октябрь[№]=1)*Октябрь[6],Октябрь[Периодичность])</f>
        <v>0</v>
      </c>
      <c r="K13" s="30">
        <f>SUMPRODUCT((Октябрь[№]=1)*Октябрь[7],Октябрь[Периодичность])</f>
        <v>0</v>
      </c>
      <c r="L13" s="30">
        <f>SUMPRODUCT((Октябрь[№]=1)*Октябрь[8],Октябрь[Периодичность])</f>
        <v>0</v>
      </c>
      <c r="M13" s="30">
        <f>SUMPRODUCT((Октябрь[№]=1)*Октябрь[9],Октябрь[Периодичность])</f>
        <v>0</v>
      </c>
      <c r="N13" s="30">
        <f>SUMPRODUCT((Октябрь[№]=1)*Октябрь[10],Октябрь[Периодичность])</f>
        <v>0</v>
      </c>
      <c r="O13" s="30">
        <f>SUMPRODUCT((Октябрь[№]=1)*Октябрь[11],Октябрь[Периодичность])</f>
        <v>0</v>
      </c>
      <c r="P13" s="30">
        <f>SUMPRODUCT((Октябрь[№]=1)*Октябрь[12],Октябрь[Периодичность])</f>
        <v>0</v>
      </c>
      <c r="Q13" s="30">
        <f>SUMPRODUCT((Октябрь[№]=1)*Октябрь[13],Октябрь[Периодичность])</f>
        <v>0</v>
      </c>
      <c r="R13" s="30">
        <f>SUMPRODUCT((Октябрь[№]=1)*Октябрь[14],Октябрь[Периодичность])</f>
        <v>0</v>
      </c>
      <c r="S13" s="30">
        <f>SUMPRODUCT((Октябрь[№]=1)*Октябрь[15],Октябрь[Периодичность])</f>
        <v>0</v>
      </c>
      <c r="T13" s="30">
        <f>SUMPRODUCT((Октябрь[№]=1)*Октябрь[16],Октябрь[Периодичность])</f>
        <v>0</v>
      </c>
      <c r="U13" s="30">
        <f>SUMPRODUCT((Октябрь[№]=1)*Октябрь[17],Октябрь[Периодичность])</f>
        <v>0</v>
      </c>
      <c r="V13" s="30">
        <f>SUMPRODUCT((Октябрь[№]=1)*Октябрь[18],Октябрь[Периодичность])</f>
        <v>0</v>
      </c>
      <c r="W13" s="30">
        <f>SUMPRODUCT((Октябрь[№]=1)*Октябрь[19],Октябрь[Периодичность])</f>
        <v>0</v>
      </c>
      <c r="X13" s="30">
        <f>SUMPRODUCT((Октябрь[№]=1)*Октябрь[20],Октябрь[Периодичность])</f>
        <v>0</v>
      </c>
      <c r="Y13" s="30">
        <f>SUMPRODUCT((Октябрь[№]=1)*Октябрь[21],Октябрь[Периодичность])</f>
        <v>0</v>
      </c>
      <c r="Z13" s="30">
        <f>SUMPRODUCT((Октябрь[№]=1)*Октябрь[22],Октябрь[Периодичность])</f>
        <v>0</v>
      </c>
      <c r="AA13" s="30">
        <f>SUMPRODUCT((Октябрь[№]=1)*Октябрь[23],Октябрь[Периодичность])</f>
        <v>0</v>
      </c>
      <c r="AB13" s="30">
        <f>SUMPRODUCT((Октябрь[№]=1)*Октябрь[24],Октябрь[Периодичность])</f>
        <v>0</v>
      </c>
      <c r="AC13" s="30">
        <f>SUMPRODUCT((Октябрь[№]=1)*Октябрь[25],Октябрь[Периодичность])</f>
        <v>0</v>
      </c>
      <c r="AD13" s="30">
        <f>SUMPRODUCT((Октябрь[№]=1)*Октябрь[26],Октябрь[Периодичность])</f>
        <v>0</v>
      </c>
      <c r="AE13" s="30">
        <f>SUMPRODUCT((Октябрь[№]=1)*Октябрь[27],Октябрь[Периодичность])</f>
        <v>0</v>
      </c>
      <c r="AF13" s="30">
        <f>SUMPRODUCT((Октябрь[№]=1)*Октябрь[28],Октябрь[Периодичность])</f>
        <v>0</v>
      </c>
      <c r="AG13" s="30">
        <f>SUMPRODUCT((Октябрь[№]=1)*Октябрь[29],Октябрь[Периодичность])</f>
        <v>0</v>
      </c>
      <c r="AH13" s="30">
        <f>SUMPRODUCT((Октябрь[№]=1)*Октябрь[30],Октябрь[Периодичность])</f>
        <v>0</v>
      </c>
      <c r="AI13" s="30">
        <f>SUMPRODUCT((Октябрь[№]=1)*Октябрь[31],Октябрь[Периодичность])</f>
        <v>0</v>
      </c>
      <c r="AL13" s="4"/>
    </row>
    <row r="14" spans="1:38" x14ac:dyDescent="0.25">
      <c r="B14" s="3">
        <f>SUMPRODUCT((Настройки!$E$30:$AI$30=2)*E16:AI16)</f>
        <v>0</v>
      </c>
      <c r="D14" s="5">
        <v>2</v>
      </c>
      <c r="E14" s="30">
        <f>SUMPRODUCT((Октябрь[№]=2)*Октябрь[1],Октябрь[Периодичность])</f>
        <v>0</v>
      </c>
      <c r="F14" s="30">
        <f>SUMPRODUCT((Октябрь[№]=2)*Октябрь[2],Октябрь[Периодичность])</f>
        <v>0</v>
      </c>
      <c r="G14" s="30">
        <f>SUMPRODUCT((Октябрь[№]=2)*Октябрь[3],Октябрь[Периодичность])</f>
        <v>0</v>
      </c>
      <c r="H14" s="30">
        <f>SUMPRODUCT((Октябрь[№]=2)*Октябрь[4],Октябрь[Периодичность])</f>
        <v>0</v>
      </c>
      <c r="I14" s="30">
        <f>SUMPRODUCT((Октябрь[№]=2)*Октябрь[5],Октябрь[Периодичность])</f>
        <v>0</v>
      </c>
      <c r="J14" s="30">
        <f>SUMPRODUCT((Октябрь[№]=2)*Октябрь[6],Октябрь[Периодичность])</f>
        <v>0</v>
      </c>
      <c r="K14" s="30">
        <f>SUMPRODUCT((Октябрь[№]=2)*Октябрь[7],Октябрь[Периодичность])</f>
        <v>0</v>
      </c>
      <c r="L14" s="30">
        <f>SUMPRODUCT((Октябрь[№]=2)*Октябрь[8],Октябрь[Периодичность])</f>
        <v>0</v>
      </c>
      <c r="M14" s="30">
        <f>SUMPRODUCT((Октябрь[№]=2)*Октябрь[9],Октябрь[Периодичность])</f>
        <v>0</v>
      </c>
      <c r="N14" s="30">
        <f>SUMPRODUCT((Октябрь[№]=2)*Октябрь[10],Октябрь[Периодичность])</f>
        <v>0</v>
      </c>
      <c r="O14" s="30">
        <f>SUMPRODUCT((Октябрь[№]=2)*Октябрь[11],Октябрь[Периодичность])</f>
        <v>0</v>
      </c>
      <c r="P14" s="30">
        <f>SUMPRODUCT((Октябрь[№]=2)*Октябрь[12],Октябрь[Периодичность])</f>
        <v>0</v>
      </c>
      <c r="Q14" s="30">
        <f>SUMPRODUCT((Октябрь[№]=2)*Октябрь[13],Октябрь[Периодичность])</f>
        <v>0</v>
      </c>
      <c r="R14" s="30">
        <f>SUMPRODUCT((Октябрь[№]=2)*Октябрь[14],Октябрь[Периодичность])</f>
        <v>0</v>
      </c>
      <c r="S14" s="30">
        <f>SUMPRODUCT((Октябрь[№]=2)*Октябрь[15],Октябрь[Периодичность])</f>
        <v>0</v>
      </c>
      <c r="T14" s="30">
        <f>SUMPRODUCT((Октябрь[№]=2)*Октябрь[16],Октябрь[Периодичность])</f>
        <v>0</v>
      </c>
      <c r="U14" s="30">
        <f>SUMPRODUCT((Октябрь[№]=2)*Октябрь[17],Октябрь[Периодичность])</f>
        <v>0</v>
      </c>
      <c r="V14" s="30">
        <f>SUMPRODUCT((Октябрь[№]=2)*Октябрь[18],Октябрь[Периодичность])</f>
        <v>0</v>
      </c>
      <c r="W14" s="30">
        <f>SUMPRODUCT((Октябрь[№]=2)*Октябрь[19],Октябрь[Периодичность])</f>
        <v>0</v>
      </c>
      <c r="X14" s="30">
        <f>SUMPRODUCT((Октябрь[№]=2)*Октябрь[20],Октябрь[Периодичность])</f>
        <v>0</v>
      </c>
      <c r="Y14" s="30">
        <f>SUMPRODUCT((Октябрь[№]=2)*Октябрь[21],Октябрь[Периодичность])</f>
        <v>0</v>
      </c>
      <c r="Z14" s="30">
        <f>SUMPRODUCT((Октябрь[№]=2)*Октябрь[22],Октябрь[Периодичность])</f>
        <v>0</v>
      </c>
      <c r="AA14" s="30">
        <f>SUMPRODUCT((Октябрь[№]=2)*Октябрь[23],Октябрь[Периодичность])</f>
        <v>0</v>
      </c>
      <c r="AB14" s="30">
        <f>SUMPRODUCT((Октябрь[№]=2)*Октябрь[24],Октябрь[Периодичность])</f>
        <v>0</v>
      </c>
      <c r="AC14" s="30">
        <f>SUMPRODUCT((Октябрь[№]=2)*Октябрь[25],Октябрь[Периодичность])</f>
        <v>0</v>
      </c>
      <c r="AD14" s="30">
        <f>SUMPRODUCT((Октябрь[№]=2)*Октябрь[26],Октябрь[Периодичность])</f>
        <v>0</v>
      </c>
      <c r="AE14" s="30">
        <f>SUMPRODUCT((Октябрь[№]=2)*Октябрь[27],Октябрь[Периодичность])</f>
        <v>0</v>
      </c>
      <c r="AF14" s="30">
        <f>SUMPRODUCT((Октябрь[№]=2)*Октябрь[28],Октябрь[Периодичность])</f>
        <v>0</v>
      </c>
      <c r="AG14" s="30">
        <f>SUMPRODUCT((Октябрь[№]=2)*Октябрь[29],Октябрь[Периодичность])</f>
        <v>0</v>
      </c>
      <c r="AH14" s="30">
        <f>SUMPRODUCT((Октябрь[№]=2)*Октябрь[30],Октябрь[Периодичность])</f>
        <v>0</v>
      </c>
      <c r="AI14" s="30">
        <f>SUMPRODUCT((Октябрь[№]=2)*Октябрь[31],Октябрь[Периодичность])</f>
        <v>0</v>
      </c>
      <c r="AL14" s="4"/>
    </row>
    <row r="15" spans="1:38" x14ac:dyDescent="0.25">
      <c r="B15" s="3">
        <f>SUMPRODUCT((Настройки!$E$30:$AI$30=3)*E16:AI16)</f>
        <v>0</v>
      </c>
      <c r="D15" s="5">
        <v>3</v>
      </c>
      <c r="E15" s="30">
        <f>SUMPRODUCT((Октябрь[№]=3)*Октябрь[1],Октябрь[Периодичность])</f>
        <v>0</v>
      </c>
      <c r="F15" s="30">
        <f>SUMPRODUCT((Октябрь[№]=3)*Октябрь[2],Октябрь[Периодичность])</f>
        <v>0</v>
      </c>
      <c r="G15" s="30">
        <f>SUMPRODUCT((Октябрь[№]=3)*Октябрь[3],Октябрь[Периодичность])</f>
        <v>0</v>
      </c>
      <c r="H15" s="30">
        <f>SUMPRODUCT((Октябрь[№]=3)*Октябрь[4],Октябрь[Периодичность])</f>
        <v>0</v>
      </c>
      <c r="I15" s="30">
        <f>SUMPRODUCT((Октябрь[№]=3)*Октябрь[5],Октябрь[Периодичность])</f>
        <v>0</v>
      </c>
      <c r="J15" s="30">
        <f>SUMPRODUCT((Октябрь[№]=3)*Октябрь[6],Октябрь[Периодичность])</f>
        <v>0</v>
      </c>
      <c r="K15" s="30">
        <f>SUMPRODUCT((Октябрь[№]=3)*Октябрь[7],Октябрь[Периодичность])</f>
        <v>0</v>
      </c>
      <c r="L15" s="30">
        <f>SUMPRODUCT((Октябрь[№]=3)*Октябрь[8],Октябрь[Периодичность])</f>
        <v>0</v>
      </c>
      <c r="M15" s="30">
        <f>SUMPRODUCT((Октябрь[№]=3)*Октябрь[9],Октябрь[Периодичность])</f>
        <v>0</v>
      </c>
      <c r="N15" s="30">
        <f>SUMPRODUCT((Октябрь[№]=3)*Октябрь[10],Октябрь[Периодичность])</f>
        <v>0</v>
      </c>
      <c r="O15" s="30">
        <f>SUMPRODUCT((Октябрь[№]=3)*Октябрь[11],Октябрь[Периодичность])</f>
        <v>0</v>
      </c>
      <c r="P15" s="30">
        <f>SUMPRODUCT((Октябрь[№]=3)*Октябрь[12],Октябрь[Периодичность])</f>
        <v>0</v>
      </c>
      <c r="Q15" s="30">
        <f>SUMPRODUCT((Октябрь[№]=3)*Октябрь[13],Октябрь[Периодичность])</f>
        <v>0</v>
      </c>
      <c r="R15" s="30">
        <f>SUMPRODUCT((Октябрь[№]=3)*Октябрь[14],Октябрь[Периодичность])</f>
        <v>0</v>
      </c>
      <c r="S15" s="30">
        <f>SUMPRODUCT((Октябрь[№]=3)*Октябрь[15],Октябрь[Периодичность])</f>
        <v>0</v>
      </c>
      <c r="T15" s="30">
        <f>SUMPRODUCT((Октябрь[№]=3)*Октябрь[16],Октябрь[Периодичность])</f>
        <v>0</v>
      </c>
      <c r="U15" s="30">
        <f>SUMPRODUCT((Октябрь[№]=3)*Октябрь[17],Октябрь[Периодичность])</f>
        <v>0</v>
      </c>
      <c r="V15" s="30">
        <f>SUMPRODUCT((Октябрь[№]=3)*Октябрь[18],Октябрь[Периодичность])</f>
        <v>0</v>
      </c>
      <c r="W15" s="30">
        <f>SUMPRODUCT((Октябрь[№]=3)*Октябрь[19],Октябрь[Периодичность])</f>
        <v>0</v>
      </c>
      <c r="X15" s="30">
        <f>SUMPRODUCT((Октябрь[№]=3)*Октябрь[20],Октябрь[Периодичность])</f>
        <v>0</v>
      </c>
      <c r="Y15" s="30">
        <f>SUMPRODUCT((Октябрь[№]=3)*Октябрь[21],Октябрь[Периодичность])</f>
        <v>0</v>
      </c>
      <c r="Z15" s="30">
        <f>SUMPRODUCT((Октябрь[№]=3)*Октябрь[22],Октябрь[Периодичность])</f>
        <v>0</v>
      </c>
      <c r="AA15" s="30">
        <f>SUMPRODUCT((Октябрь[№]=3)*Октябрь[23],Октябрь[Периодичность])</f>
        <v>0</v>
      </c>
      <c r="AB15" s="30">
        <f>SUMPRODUCT((Октябрь[№]=3)*Октябрь[24],Октябрь[Периодичность])</f>
        <v>0</v>
      </c>
      <c r="AC15" s="30">
        <f>SUMPRODUCT((Октябрь[№]=3)*Октябрь[25],Октябрь[Периодичность])</f>
        <v>0</v>
      </c>
      <c r="AD15" s="30">
        <f>SUMPRODUCT((Октябрь[№]=3)*Октябрь[26],Октябрь[Периодичность])</f>
        <v>0</v>
      </c>
      <c r="AE15" s="30">
        <f>SUMPRODUCT((Октябрь[№]=3)*Октябрь[27],Октябрь[Периодичность])</f>
        <v>0</v>
      </c>
      <c r="AF15" s="30">
        <f>SUMPRODUCT((Октябрь[№]=3)*Октябрь[28],Октябрь[Периодичность])</f>
        <v>0</v>
      </c>
      <c r="AG15" s="30">
        <f>SUMPRODUCT((Октябрь[№]=3)*Октябрь[29],Октябрь[Периодичность])</f>
        <v>0</v>
      </c>
      <c r="AH15" s="30">
        <f>SUMPRODUCT((Октябрь[№]=3)*Октябрь[30],Октябрь[Периодичность])</f>
        <v>0</v>
      </c>
      <c r="AI15" s="30">
        <f>SUMPRODUCT((Октябрь[№]=3)*Октябрь[31],Октябрь[Периодичность])</f>
        <v>0</v>
      </c>
      <c r="AK15" s="11"/>
    </row>
    <row r="16" spans="1:38" ht="22.5" customHeight="1" x14ac:dyDescent="0.25">
      <c r="B16" s="3">
        <f>SUMPRODUCT((Настройки!$E$30:$AI$30=4)*E16:AI16)</f>
        <v>0</v>
      </c>
      <c r="D16" s="5"/>
      <c r="E16" s="30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I16" s="30">
        <f>SUM(AI13:AI15)</f>
        <v>0</v>
      </c>
      <c r="AK16" s="11"/>
    </row>
    <row r="17" spans="1:37" ht="22.5" customHeight="1" x14ac:dyDescent="0.25">
      <c r="B17" s="3">
        <f>SUMPRODUCT((Настройки!$E$30:$AI$30=5)*E16:AI16)</f>
        <v>0</v>
      </c>
      <c r="C17" s="5">
        <f>ОктябрьИтоги[[#This Row],[№]]*60</f>
        <v>0</v>
      </c>
      <c r="D17" s="7">
        <f>SUM(ОктябрьИтоги[[#This Row],[1]:[31]])</f>
        <v>0</v>
      </c>
      <c r="E17" s="31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31">
        <f>AI16/60</f>
        <v>0</v>
      </c>
      <c r="AJ17" s="3">
        <f ca="1">SUM(Октябрь[УСЛУГ])</f>
        <v>0</v>
      </c>
      <c r="AK17" s="11">
        <f ca="1">SUM(Октябрь[МИНУТ])</f>
        <v>0</v>
      </c>
    </row>
    <row r="18" spans="1:37" ht="20.25" customHeight="1" x14ac:dyDescent="0.25"/>
    <row r="19" spans="1:37" ht="22.5" customHeight="1" x14ac:dyDescent="0.25">
      <c r="A19" s="49" t="s">
        <v>52</v>
      </c>
      <c r="B19" s="49" t="s">
        <v>53</v>
      </c>
      <c r="C19" s="50"/>
      <c r="D19" s="51" t="s">
        <v>67</v>
      </c>
      <c r="E19" s="43" t="s">
        <v>55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5"/>
      <c r="AJ19" s="39" t="s">
        <v>70</v>
      </c>
      <c r="AK19" s="40" t="s">
        <v>70</v>
      </c>
    </row>
    <row r="20" spans="1:37" ht="18" customHeight="1" x14ac:dyDescent="0.25">
      <c r="A20" s="49"/>
      <c r="B20" s="49"/>
      <c r="C20" s="50"/>
      <c r="D20" s="52"/>
      <c r="E20" s="53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5"/>
      <c r="AJ20" s="39"/>
      <c r="AK20" s="41"/>
    </row>
    <row r="21" spans="1:37" ht="21.75" customHeight="1" x14ac:dyDescent="0.25">
      <c r="A21" s="49"/>
      <c r="B21" s="49"/>
      <c r="C21" s="50"/>
      <c r="D21" s="52"/>
      <c r="E21" s="26">
        <f>Настройки!E16</f>
        <v>45200</v>
      </c>
      <c r="F21" s="26">
        <f>Настройки!F16</f>
        <v>45201</v>
      </c>
      <c r="G21" s="26">
        <f>Настройки!G16</f>
        <v>45202</v>
      </c>
      <c r="H21" s="26">
        <f>Настройки!H16</f>
        <v>45203</v>
      </c>
      <c r="I21" s="26">
        <f>Настройки!I16</f>
        <v>45204</v>
      </c>
      <c r="J21" s="26">
        <f>Настройки!J16</f>
        <v>45205</v>
      </c>
      <c r="K21" s="26">
        <f>Настройки!K16</f>
        <v>45206</v>
      </c>
      <c r="L21" s="26">
        <f>Настройки!L16</f>
        <v>45207</v>
      </c>
      <c r="M21" s="26">
        <f>Настройки!M16</f>
        <v>45208</v>
      </c>
      <c r="N21" s="26">
        <f>Настройки!N16</f>
        <v>45209</v>
      </c>
      <c r="O21" s="26">
        <f>Настройки!O16</f>
        <v>45210</v>
      </c>
      <c r="P21" s="26">
        <f>Настройки!P16</f>
        <v>45211</v>
      </c>
      <c r="Q21" s="26">
        <f>Настройки!Q16</f>
        <v>45212</v>
      </c>
      <c r="R21" s="26">
        <f>Настройки!R16</f>
        <v>45213</v>
      </c>
      <c r="S21" s="26">
        <f>Настройки!S16</f>
        <v>45214</v>
      </c>
      <c r="T21" s="26">
        <f>Настройки!T16</f>
        <v>45215</v>
      </c>
      <c r="U21" s="26">
        <f>Настройки!U16</f>
        <v>45216</v>
      </c>
      <c r="V21" s="26">
        <f>Настройки!V16</f>
        <v>45217</v>
      </c>
      <c r="W21" s="26">
        <f>Настройки!W16</f>
        <v>45218</v>
      </c>
      <c r="X21" s="26">
        <f>Настройки!X16</f>
        <v>45219</v>
      </c>
      <c r="Y21" s="26">
        <f>Настройки!Y16</f>
        <v>45220</v>
      </c>
      <c r="Z21" s="26">
        <f>Настройки!Z16</f>
        <v>45221</v>
      </c>
      <c r="AA21" s="26">
        <f>Настройки!AA16</f>
        <v>45222</v>
      </c>
      <c r="AB21" s="26">
        <f>Настройки!AB16</f>
        <v>45223</v>
      </c>
      <c r="AC21" s="26">
        <f>Настройки!AC16</f>
        <v>45224</v>
      </c>
      <c r="AD21" s="26">
        <f>Настройки!AD16</f>
        <v>45225</v>
      </c>
      <c r="AE21" s="26">
        <f>Настройки!AE16</f>
        <v>45226</v>
      </c>
      <c r="AF21" s="26">
        <f>Настройки!AF16</f>
        <v>45227</v>
      </c>
      <c r="AG21" s="26">
        <f>Настройки!AG16</f>
        <v>45228</v>
      </c>
      <c r="AH21" s="26">
        <f>Настройки!AH16</f>
        <v>45229</v>
      </c>
      <c r="AI21" s="26">
        <f>Настройки!AI16</f>
        <v>45230</v>
      </c>
      <c r="AJ21" s="39"/>
      <c r="AK21" s="41"/>
    </row>
    <row r="22" spans="1:37" x14ac:dyDescent="0.25">
      <c r="A22" s="49"/>
      <c r="B22" s="49"/>
      <c r="C22" s="50"/>
      <c r="D22" s="52"/>
      <c r="E22" s="49" t="s">
        <v>54</v>
      </c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56"/>
      <c r="AJ22" s="39"/>
      <c r="AK22" s="41"/>
    </row>
    <row r="23" spans="1:37" x14ac:dyDescent="0.25">
      <c r="A23" s="49"/>
      <c r="B23" s="49"/>
      <c r="C23" s="50"/>
      <c r="D23" s="52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56"/>
      <c r="AJ23" s="39"/>
      <c r="AK23" s="42"/>
    </row>
    <row r="24" spans="1:37" ht="23.25" customHeight="1" x14ac:dyDescent="0.25">
      <c r="A24" s="3" t="s">
        <v>65</v>
      </c>
      <c r="B24" s="2" t="s">
        <v>63</v>
      </c>
      <c r="C24" s="3" t="s">
        <v>64</v>
      </c>
      <c r="D24" s="9" t="s">
        <v>66</v>
      </c>
      <c r="E24" s="3" t="s">
        <v>89</v>
      </c>
      <c r="F24" s="3" t="s">
        <v>90</v>
      </c>
      <c r="G24" s="3" t="s">
        <v>91</v>
      </c>
      <c r="H24" s="3" t="s">
        <v>92</v>
      </c>
      <c r="I24" s="3" t="s">
        <v>93</v>
      </c>
      <c r="J24" s="3" t="s">
        <v>94</v>
      </c>
      <c r="K24" s="3" t="s">
        <v>95</v>
      </c>
      <c r="L24" s="3" t="s">
        <v>96</v>
      </c>
      <c r="M24" s="3" t="s">
        <v>97</v>
      </c>
      <c r="N24" s="3" t="s">
        <v>98</v>
      </c>
      <c r="O24" s="3" t="s">
        <v>99</v>
      </c>
      <c r="P24" s="3" t="s">
        <v>100</v>
      </c>
      <c r="Q24" s="3" t="s">
        <v>101</v>
      </c>
      <c r="R24" s="3" t="s">
        <v>102</v>
      </c>
      <c r="S24" s="3" t="s">
        <v>103</v>
      </c>
      <c r="T24" s="3" t="s">
        <v>104</v>
      </c>
      <c r="U24" s="3" t="s">
        <v>105</v>
      </c>
      <c r="V24" s="3" t="s">
        <v>106</v>
      </c>
      <c r="W24" s="3" t="s">
        <v>107</v>
      </c>
      <c r="X24" s="3" t="s">
        <v>108</v>
      </c>
      <c r="Y24" s="3" t="s">
        <v>109</v>
      </c>
      <c r="Z24" s="3" t="s">
        <v>110</v>
      </c>
      <c r="AA24" s="3" t="s">
        <v>111</v>
      </c>
      <c r="AB24" s="3" t="s">
        <v>112</v>
      </c>
      <c r="AC24" s="3" t="s">
        <v>113</v>
      </c>
      <c r="AD24" s="3" t="s">
        <v>114</v>
      </c>
      <c r="AE24" s="3" t="s">
        <v>115</v>
      </c>
      <c r="AF24" s="3" t="s">
        <v>116</v>
      </c>
      <c r="AG24" s="3" t="s">
        <v>117</v>
      </c>
      <c r="AH24" s="3" t="s">
        <v>118</v>
      </c>
      <c r="AI24" s="3" t="s">
        <v>127</v>
      </c>
      <c r="AJ24" s="3" t="s">
        <v>68</v>
      </c>
      <c r="AK24" s="3" t="s">
        <v>69</v>
      </c>
    </row>
    <row r="25" spans="1:37" ht="31.5" x14ac:dyDescent="0.25">
      <c r="A25" s="16" t="s">
        <v>1</v>
      </c>
      <c r="B25" s="2" t="s">
        <v>56</v>
      </c>
      <c r="C25" s="8">
        <v>60</v>
      </c>
      <c r="D25" s="11">
        <v>1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5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25" s="5">
        <f ca="1">IF(Октябрь[[#This Row],[УСЛУГ]]&lt;&gt;"",Октябрь[[#This Row],[УСЛУГ]]*Октябрь[[#This Row],[Периодичность]],"")</f>
        <v>0</v>
      </c>
    </row>
    <row r="26" spans="1:37" x14ac:dyDescent="0.25">
      <c r="A26" s="16"/>
      <c r="B26" s="2"/>
      <c r="C26" s="8">
        <v>60</v>
      </c>
      <c r="D26" s="11">
        <v>2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5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26" s="5" t="str">
        <f ca="1">IF(Октябрь[[#This Row],[УСЛУГ]]&lt;&gt;"",Октябрь[[#This Row],[УСЛУГ]]*Октябрь[[#This Row],[Периодичность]],"")</f>
        <v/>
      </c>
    </row>
    <row r="27" spans="1:37" x14ac:dyDescent="0.25">
      <c r="A27" s="16"/>
      <c r="B27" s="2"/>
      <c r="C27" s="8">
        <v>60</v>
      </c>
      <c r="D27" s="11">
        <v>3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5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27" s="5" t="str">
        <f ca="1">IF(Октябрь[[#This Row],[УСЛУГ]]&lt;&gt;"",Октябрь[[#This Row],[УСЛУГ]]*Октябрь[[#This Row],[Периодичность]],"")</f>
        <v/>
      </c>
    </row>
    <row r="28" spans="1:37" ht="31.5" x14ac:dyDescent="0.25">
      <c r="A28" s="16" t="s">
        <v>3</v>
      </c>
      <c r="B28" s="2" t="s">
        <v>58</v>
      </c>
      <c r="C28" s="8">
        <v>10</v>
      </c>
      <c r="D28" s="11">
        <v>1</v>
      </c>
      <c r="E28" s="18"/>
      <c r="F28" s="18"/>
      <c r="G28" s="18"/>
      <c r="H28" s="18"/>
      <c r="I28" s="18"/>
      <c r="J28" s="18"/>
      <c r="K28" s="10"/>
      <c r="L28" s="10"/>
      <c r="M28" s="10"/>
      <c r="N28" s="10"/>
      <c r="O28" s="10"/>
      <c r="P28" s="18"/>
      <c r="Q28" s="18"/>
      <c r="R28" s="10"/>
      <c r="S28" s="10"/>
      <c r="T28" s="10"/>
      <c r="U28" s="10"/>
      <c r="V28" s="10"/>
      <c r="W28" s="18"/>
      <c r="X28" s="18"/>
      <c r="Y28" s="10"/>
      <c r="Z28" s="10"/>
      <c r="AA28" s="10"/>
      <c r="AB28" s="10"/>
      <c r="AC28" s="10"/>
      <c r="AD28" s="18"/>
      <c r="AE28" s="18"/>
      <c r="AF28" s="18"/>
      <c r="AG28" s="18"/>
      <c r="AH28" s="18"/>
      <c r="AI28" s="20"/>
      <c r="AJ28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28" s="29">
        <f ca="1">IF(Октябрь[[#This Row],[УСЛУГ]]&lt;&gt;"",Октябрь[[#This Row],[УСЛУГ]]*Октябрь[[#This Row],[Периодичность]],"")</f>
        <v>0</v>
      </c>
    </row>
    <row r="29" spans="1:37" ht="18.75" x14ac:dyDescent="0.25">
      <c r="A29" s="16"/>
      <c r="B29" s="2"/>
      <c r="C29" s="8">
        <v>10</v>
      </c>
      <c r="D29" s="11">
        <v>2</v>
      </c>
      <c r="E29" s="18"/>
      <c r="F29" s="18"/>
      <c r="G29" s="18"/>
      <c r="H29" s="18"/>
      <c r="I29" s="18"/>
      <c r="J29" s="18"/>
      <c r="K29" s="10"/>
      <c r="L29" s="10"/>
      <c r="M29" s="10"/>
      <c r="N29" s="10"/>
      <c r="O29" s="10"/>
      <c r="P29" s="18"/>
      <c r="Q29" s="18"/>
      <c r="R29" s="10"/>
      <c r="S29" s="10"/>
      <c r="T29" s="10"/>
      <c r="U29" s="10"/>
      <c r="V29" s="10"/>
      <c r="W29" s="18"/>
      <c r="X29" s="18"/>
      <c r="Y29" s="10"/>
      <c r="Z29" s="10"/>
      <c r="AA29" s="10"/>
      <c r="AB29" s="10"/>
      <c r="AC29" s="10"/>
      <c r="AD29" s="18"/>
      <c r="AE29" s="18"/>
      <c r="AF29" s="18"/>
      <c r="AG29" s="18"/>
      <c r="AH29" s="18"/>
      <c r="AI29" s="20"/>
      <c r="AJ29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29" s="29" t="str">
        <f ca="1">IF(Октябрь[[#This Row],[УСЛУГ]]&lt;&gt;"",Октябрь[[#This Row],[УСЛУГ]]*Октябрь[[#This Row],[Периодичность]],"")</f>
        <v/>
      </c>
    </row>
    <row r="30" spans="1:37" x14ac:dyDescent="0.25">
      <c r="A30" s="16"/>
      <c r="B30" s="2"/>
      <c r="C30" s="8">
        <v>10</v>
      </c>
      <c r="D30" s="11">
        <v>3</v>
      </c>
      <c r="E30" s="18"/>
      <c r="F30" s="18"/>
      <c r="G30" s="18"/>
      <c r="H30" s="18"/>
      <c r="I30" s="18"/>
      <c r="J30" s="18"/>
      <c r="K30" s="10"/>
      <c r="L30" s="10"/>
      <c r="M30" s="10"/>
      <c r="N30" s="10"/>
      <c r="O30" s="10"/>
      <c r="P30" s="18"/>
      <c r="Q30" s="18"/>
      <c r="R30" s="10"/>
      <c r="S30" s="10"/>
      <c r="T30" s="10"/>
      <c r="U30" s="10"/>
      <c r="V30" s="10"/>
      <c r="W30" s="18"/>
      <c r="X30" s="18"/>
      <c r="Y30" s="10"/>
      <c r="Z30" s="10"/>
      <c r="AA30" s="10"/>
      <c r="AB30" s="10"/>
      <c r="AC30" s="10"/>
      <c r="AD30" s="18"/>
      <c r="AE30" s="18"/>
      <c r="AF30" s="18"/>
      <c r="AG30" s="18"/>
      <c r="AH30" s="18"/>
      <c r="AI30" s="19"/>
      <c r="AJ30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30" s="29" t="str">
        <f ca="1">IF(Октябрь[[#This Row],[УСЛУГ]]&lt;&gt;"",Октябрь[[#This Row],[УСЛУГ]]*Октябрь[[#This Row],[Периодичность]],"")</f>
        <v/>
      </c>
    </row>
    <row r="31" spans="1:37" x14ac:dyDescent="0.25">
      <c r="A31" s="16" t="s">
        <v>5</v>
      </c>
      <c r="B31" s="2" t="s">
        <v>58</v>
      </c>
      <c r="C31" s="8">
        <v>30</v>
      </c>
      <c r="D31" s="11">
        <v>1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31" s="29">
        <f ca="1">IF(Октябрь[[#This Row],[УСЛУГ]]&lt;&gt;"",Октябрь[[#This Row],[УСЛУГ]]*Октябрь[[#This Row],[Периодичность]],"")</f>
        <v>0</v>
      </c>
    </row>
    <row r="32" spans="1:37" x14ac:dyDescent="0.25">
      <c r="A32" s="16"/>
      <c r="B32" s="2"/>
      <c r="C32" s="8">
        <v>30</v>
      </c>
      <c r="D32" s="11">
        <v>2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32" s="29" t="str">
        <f ca="1">IF(Октябрь[[#This Row],[УСЛУГ]]&lt;&gt;"",Октябрь[[#This Row],[УСЛУГ]]*Октябрь[[#This Row],[Периодичность]],"")</f>
        <v/>
      </c>
    </row>
    <row r="33" spans="1:37" x14ac:dyDescent="0.25">
      <c r="A33" s="16"/>
      <c r="B33" s="2"/>
      <c r="C33" s="8">
        <v>30</v>
      </c>
      <c r="D33" s="11">
        <v>3</v>
      </c>
      <c r="E33" s="18"/>
      <c r="F33" s="18"/>
      <c r="G33" s="18"/>
      <c r="H33" s="18"/>
      <c r="I33" s="18"/>
      <c r="J33" s="18"/>
      <c r="K33" s="10"/>
      <c r="L33" s="10"/>
      <c r="M33" s="10"/>
      <c r="N33" s="10"/>
      <c r="O33" s="10"/>
      <c r="P33" s="18"/>
      <c r="Q33" s="18"/>
      <c r="R33" s="10"/>
      <c r="S33" s="10"/>
      <c r="T33" s="10"/>
      <c r="U33" s="10"/>
      <c r="V33" s="10"/>
      <c r="W33" s="18"/>
      <c r="X33" s="18"/>
      <c r="Y33" s="10"/>
      <c r="Z33" s="10"/>
      <c r="AA33" s="10"/>
      <c r="AB33" s="10"/>
      <c r="AC33" s="10"/>
      <c r="AD33" s="18"/>
      <c r="AE33" s="18"/>
      <c r="AF33" s="18"/>
      <c r="AG33" s="18"/>
      <c r="AH33" s="18"/>
      <c r="AI33" s="19"/>
      <c r="AJ33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33" s="29" t="str">
        <f ca="1">IF(Октябрь[[#This Row],[УСЛУГ]]&lt;&gt;"",Октябрь[[#This Row],[УСЛУГ]]*Октябрь[[#This Row],[Периодичность]],"")</f>
        <v/>
      </c>
    </row>
    <row r="34" spans="1:37" ht="47.25" x14ac:dyDescent="0.25">
      <c r="A34" s="16" t="s">
        <v>85</v>
      </c>
      <c r="B34" s="2" t="s">
        <v>58</v>
      </c>
      <c r="C34" s="8">
        <v>3</v>
      </c>
      <c r="D34" s="11">
        <v>1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20"/>
      <c r="AJ34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34" s="29">
        <f ca="1">IF(Октябрь[[#This Row],[УСЛУГ]]&lt;&gt;"",Октябрь[[#This Row],[УСЛУГ]]*Октябрь[[#This Row],[Периодичность]],"")</f>
        <v>0</v>
      </c>
    </row>
    <row r="35" spans="1:37" ht="18.75" x14ac:dyDescent="0.25">
      <c r="A35" s="16"/>
      <c r="B35" s="2"/>
      <c r="C35" s="8">
        <v>3</v>
      </c>
      <c r="D35" s="11">
        <v>2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20"/>
      <c r="AJ35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35" s="29" t="str">
        <f ca="1">IF(Октябрь[[#This Row],[УСЛУГ]]&lt;&gt;"",Октябрь[[#This Row],[УСЛУГ]]*Октябрь[[#This Row],[Периодичность]],"")</f>
        <v/>
      </c>
    </row>
    <row r="36" spans="1:37" ht="18.75" x14ac:dyDescent="0.25">
      <c r="A36" s="16"/>
      <c r="B36" s="2"/>
      <c r="C36" s="8">
        <v>3</v>
      </c>
      <c r="D36" s="11">
        <v>3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20"/>
      <c r="AJ36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36" s="29" t="str">
        <f ca="1">IF(Октябрь[[#This Row],[УСЛУГ]]&lt;&gt;"",Октябрь[[#This Row],[УСЛУГ]]*Октябрь[[#This Row],[Периодичность]],"")</f>
        <v/>
      </c>
    </row>
    <row r="37" spans="1:37" ht="18.75" x14ac:dyDescent="0.25">
      <c r="A37" s="16" t="s">
        <v>8</v>
      </c>
      <c r="B37" s="2" t="s">
        <v>59</v>
      </c>
      <c r="C37" s="8">
        <v>15</v>
      </c>
      <c r="D37" s="11">
        <v>1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20"/>
      <c r="AJ37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37" s="29">
        <f ca="1">IF(Октябрь[[#This Row],[УСЛУГ]]&lt;&gt;"",Октябрь[[#This Row],[УСЛУГ]]*Октябрь[[#This Row],[Периодичность]],"")</f>
        <v>0</v>
      </c>
    </row>
    <row r="38" spans="1:37" ht="18.75" x14ac:dyDescent="0.25">
      <c r="A38" s="16"/>
      <c r="B38" s="2"/>
      <c r="C38" s="8">
        <v>15</v>
      </c>
      <c r="D38" s="11">
        <v>2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0"/>
      <c r="AJ38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38" s="29" t="str">
        <f ca="1">IF(Октябрь[[#This Row],[УСЛУГ]]&lt;&gt;"",Октябрь[[#This Row],[УСЛУГ]]*Октябрь[[#This Row],[Периодичность]],"")</f>
        <v/>
      </c>
    </row>
    <row r="39" spans="1:37" ht="18.75" x14ac:dyDescent="0.25">
      <c r="A39" s="16"/>
      <c r="B39" s="2"/>
      <c r="C39" s="8">
        <v>15</v>
      </c>
      <c r="D39" s="11">
        <v>3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20"/>
      <c r="AJ39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39" s="29" t="str">
        <f ca="1">IF(Октябрь[[#This Row],[УСЛУГ]]&lt;&gt;"",Октябрь[[#This Row],[УСЛУГ]]*Октябрь[[#This Row],[Периодичность]],"")</f>
        <v/>
      </c>
    </row>
    <row r="40" spans="1:37" ht="47.25" x14ac:dyDescent="0.25">
      <c r="A40" s="16" t="s">
        <v>84</v>
      </c>
      <c r="B40" s="2" t="s">
        <v>61</v>
      </c>
      <c r="C40" s="8">
        <v>49</v>
      </c>
      <c r="D40" s="11">
        <v>1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20"/>
      <c r="AJ40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40" s="29">
        <f ca="1">IF(Октябрь[[#This Row],[УСЛУГ]]&lt;&gt;"",Октябрь[[#This Row],[УСЛУГ]]*Октябрь[[#This Row],[Периодичность]],"")</f>
        <v>0</v>
      </c>
    </row>
    <row r="41" spans="1:37" ht="18.75" x14ac:dyDescent="0.25">
      <c r="A41" s="16"/>
      <c r="B41" s="2"/>
      <c r="C41" s="8">
        <v>49</v>
      </c>
      <c r="D41" s="11">
        <v>2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20"/>
      <c r="AJ41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41" s="29" t="str">
        <f ca="1">IF(Октябрь[[#This Row],[УСЛУГ]]&lt;&gt;"",Октябрь[[#This Row],[УСЛУГ]]*Октябрь[[#This Row],[Периодичность]],"")</f>
        <v/>
      </c>
    </row>
    <row r="42" spans="1:37" ht="18.75" x14ac:dyDescent="0.25">
      <c r="A42" s="16"/>
      <c r="B42" s="2"/>
      <c r="C42" s="8">
        <v>49</v>
      </c>
      <c r="D42" s="11">
        <v>3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20"/>
      <c r="AJ42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42" s="29" t="str">
        <f ca="1">IF(Октябрь[[#This Row],[УСЛУГ]]&lt;&gt;"",Октябрь[[#This Row],[УСЛУГ]]*Октябрь[[#This Row],[Периодичность]],"")</f>
        <v/>
      </c>
    </row>
    <row r="43" spans="1:37" ht="31.5" x14ac:dyDescent="0.25">
      <c r="A43" s="16" t="s">
        <v>13</v>
      </c>
      <c r="B43" s="2" t="s">
        <v>59</v>
      </c>
      <c r="C43" s="8">
        <v>12</v>
      </c>
      <c r="D43" s="11">
        <v>1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43" s="29">
        <f ca="1">IF(Октябрь[[#This Row],[УСЛУГ]]&lt;&gt;"",Октябрь[[#This Row],[УСЛУГ]]*Октябрь[[#This Row],[Периодичность]],"")</f>
        <v>0</v>
      </c>
    </row>
    <row r="44" spans="1:37" ht="18.75" x14ac:dyDescent="0.25">
      <c r="A44" s="16"/>
      <c r="B44" s="2"/>
      <c r="C44" s="8">
        <v>12</v>
      </c>
      <c r="D44" s="11">
        <v>2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20"/>
      <c r="AJ44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44" s="29" t="str">
        <f ca="1">IF(Октябрь[[#This Row],[УСЛУГ]]&lt;&gt;"",Октябрь[[#This Row],[УСЛУГ]]*Октябрь[[#This Row],[Периодичность]],"")</f>
        <v/>
      </c>
    </row>
    <row r="45" spans="1:37" x14ac:dyDescent="0.25">
      <c r="A45" s="16"/>
      <c r="B45" s="2"/>
      <c r="C45" s="8">
        <v>12</v>
      </c>
      <c r="D45" s="11">
        <v>3</v>
      </c>
      <c r="E45" s="18"/>
      <c r="F45" s="18"/>
      <c r="G45" s="18"/>
      <c r="H45" s="18"/>
      <c r="I45" s="18"/>
      <c r="J45" s="18"/>
      <c r="K45" s="10"/>
      <c r="L45" s="10"/>
      <c r="M45" s="10"/>
      <c r="N45" s="10"/>
      <c r="O45" s="10"/>
      <c r="P45" s="18"/>
      <c r="Q45" s="18"/>
      <c r="R45" s="10"/>
      <c r="S45" s="10"/>
      <c r="T45" s="10"/>
      <c r="U45" s="10"/>
      <c r="V45" s="10"/>
      <c r="W45" s="18"/>
      <c r="X45" s="18"/>
      <c r="Y45" s="10"/>
      <c r="Z45" s="10"/>
      <c r="AA45" s="10"/>
      <c r="AB45" s="10"/>
      <c r="AC45" s="10"/>
      <c r="AD45" s="18"/>
      <c r="AE45" s="18"/>
      <c r="AF45" s="18"/>
      <c r="AG45" s="18"/>
      <c r="AH45" s="18"/>
      <c r="AI45" s="19"/>
      <c r="AJ45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45" s="29" t="str">
        <f ca="1">IF(Октябрь[[#This Row],[УСЛУГ]]&lt;&gt;"",Октябрь[[#This Row],[УСЛУГ]]*Октябрь[[#This Row],[Периодичность]],"")</f>
        <v/>
      </c>
    </row>
    <row r="46" spans="1:37" ht="18.75" x14ac:dyDescent="0.25">
      <c r="A46" s="16" t="s">
        <v>16</v>
      </c>
      <c r="B46" s="2" t="s">
        <v>59</v>
      </c>
      <c r="C46" s="8">
        <v>15</v>
      </c>
      <c r="D46" s="11">
        <v>1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20"/>
      <c r="AJ46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46" s="29">
        <f ca="1">IF(Октябрь[[#This Row],[УСЛУГ]]&lt;&gt;"",Октябрь[[#This Row],[УСЛУГ]]*Октябрь[[#This Row],[Периодичность]],"")</f>
        <v>0</v>
      </c>
    </row>
    <row r="47" spans="1:37" ht="18.75" x14ac:dyDescent="0.25">
      <c r="A47" s="16"/>
      <c r="B47" s="2"/>
      <c r="C47" s="8">
        <v>15</v>
      </c>
      <c r="D47" s="11">
        <v>2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20"/>
      <c r="AJ47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47" s="29" t="str">
        <f ca="1">IF(Октябрь[[#This Row],[УСЛУГ]]&lt;&gt;"",Октябрь[[#This Row],[УСЛУГ]]*Октябрь[[#This Row],[Периодичность]],"")</f>
        <v/>
      </c>
    </row>
    <row r="48" spans="1:37" ht="18.75" x14ac:dyDescent="0.25">
      <c r="A48" s="16"/>
      <c r="B48" s="2"/>
      <c r="C48" s="8">
        <v>15</v>
      </c>
      <c r="D48" s="11">
        <v>3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20"/>
      <c r="AJ48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48" s="29" t="str">
        <f ca="1">IF(Октябрь[[#This Row],[УСЛУГ]]&lt;&gt;"",Октябрь[[#This Row],[УСЛУГ]]*Октябрь[[#This Row],[Периодичность]],"")</f>
        <v/>
      </c>
    </row>
    <row r="49" spans="1:37" ht="31.5" x14ac:dyDescent="0.25">
      <c r="A49" s="16" t="s">
        <v>25</v>
      </c>
      <c r="B49" s="2" t="s">
        <v>59</v>
      </c>
      <c r="C49" s="8">
        <v>10</v>
      </c>
      <c r="D49" s="11">
        <v>1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49" s="29">
        <f ca="1">IF(Октябрь[[#This Row],[УСЛУГ]]&lt;&gt;"",Октябрь[[#This Row],[УСЛУГ]]*Октябрь[[#This Row],[Периодичность]],"")</f>
        <v>0</v>
      </c>
    </row>
    <row r="50" spans="1:37" x14ac:dyDescent="0.25">
      <c r="A50" s="16"/>
      <c r="B50" s="2"/>
      <c r="C50" s="8">
        <v>10</v>
      </c>
      <c r="D50" s="11">
        <v>2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50" s="29" t="str">
        <f ca="1">IF(Октябрь[[#This Row],[УСЛУГ]]&lt;&gt;"",Октябрь[[#This Row],[УСЛУГ]]*Октябрь[[#This Row],[Периодичность]],"")</f>
        <v/>
      </c>
    </row>
    <row r="51" spans="1:37" ht="18.75" x14ac:dyDescent="0.25">
      <c r="A51" s="16"/>
      <c r="B51" s="2"/>
      <c r="C51" s="8">
        <v>10</v>
      </c>
      <c r="D51" s="11">
        <v>3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20"/>
      <c r="AJ51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51" s="29" t="str">
        <f ca="1">IF(Октябрь[[#This Row],[УСЛУГ]]&lt;&gt;"",Октябрь[[#This Row],[УСЛУГ]]*Октябрь[[#This Row],[Периодичность]],"")</f>
        <v/>
      </c>
    </row>
    <row r="52" spans="1:37" ht="31.5" x14ac:dyDescent="0.25">
      <c r="A52" s="16" t="s">
        <v>27</v>
      </c>
      <c r="B52" s="2" t="s">
        <v>59</v>
      </c>
      <c r="C52" s="8">
        <v>15</v>
      </c>
      <c r="D52" s="11">
        <v>1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20"/>
      <c r="AJ52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52" s="29">
        <f ca="1">IF(Октябрь[[#This Row],[УСЛУГ]]&lt;&gt;"",Октябрь[[#This Row],[УСЛУГ]]*Октябрь[[#This Row],[Периодичность]],"")</f>
        <v>0</v>
      </c>
    </row>
    <row r="53" spans="1:37" ht="18.75" x14ac:dyDescent="0.25">
      <c r="A53" s="16"/>
      <c r="B53" s="2"/>
      <c r="C53" s="8">
        <v>15</v>
      </c>
      <c r="D53" s="11">
        <v>2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20"/>
      <c r="AJ53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53" s="29" t="str">
        <f ca="1">IF(Октябрь[[#This Row],[УСЛУГ]]&lt;&gt;"",Октябрь[[#This Row],[УСЛУГ]]*Октябрь[[#This Row],[Периодичность]],"")</f>
        <v/>
      </c>
    </row>
    <row r="54" spans="1:37" ht="18.75" x14ac:dyDescent="0.25">
      <c r="A54" s="16"/>
      <c r="B54" s="2"/>
      <c r="C54" s="8">
        <v>15</v>
      </c>
      <c r="D54" s="11">
        <v>3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20"/>
      <c r="AJ54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54" s="29" t="str">
        <f ca="1">IF(Октябрь[[#This Row],[УСЛУГ]]&lt;&gt;"",Октябрь[[#This Row],[УСЛУГ]]*Октябрь[[#This Row],[Периодичность]],"")</f>
        <v/>
      </c>
    </row>
    <row r="55" spans="1:37" ht="31.5" x14ac:dyDescent="0.25">
      <c r="A55" s="16" t="s">
        <v>29</v>
      </c>
      <c r="B55" s="2" t="s">
        <v>61</v>
      </c>
      <c r="C55" s="8">
        <v>15</v>
      </c>
      <c r="D55" s="11">
        <v>1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20"/>
      <c r="AJ55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55" s="29">
        <f ca="1">IF(Октябрь[[#This Row],[УСЛУГ]]&lt;&gt;"",Октябрь[[#This Row],[УСЛУГ]]*Октябрь[[#This Row],[Периодичность]],"")</f>
        <v>0</v>
      </c>
    </row>
    <row r="56" spans="1:37" ht="18.75" x14ac:dyDescent="0.25">
      <c r="A56" s="16"/>
      <c r="B56" s="2"/>
      <c r="C56" s="8">
        <v>15</v>
      </c>
      <c r="D56" s="11">
        <v>2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20"/>
      <c r="AJ56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56" s="29" t="str">
        <f ca="1">IF(Октябрь[[#This Row],[УСЛУГ]]&lt;&gt;"",Октябрь[[#This Row],[УСЛУГ]]*Октябрь[[#This Row],[Периодичность]],"")</f>
        <v/>
      </c>
    </row>
    <row r="57" spans="1:37" ht="18.75" x14ac:dyDescent="0.25">
      <c r="A57" s="16"/>
      <c r="B57" s="2"/>
      <c r="C57" s="8">
        <v>15</v>
      </c>
      <c r="D57" s="11">
        <v>3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20"/>
      <c r="AJ57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57" s="29" t="str">
        <f ca="1">IF(Октябрь[[#This Row],[УСЛУГ]]&lt;&gt;"",Октябрь[[#This Row],[УСЛУГ]]*Октябрь[[#This Row],[Периодичность]],"")</f>
        <v/>
      </c>
    </row>
    <row r="58" spans="1:37" ht="47.25" x14ac:dyDescent="0.25">
      <c r="A58" s="16" t="s">
        <v>83</v>
      </c>
      <c r="B58" s="2" t="s">
        <v>58</v>
      </c>
      <c r="C58" s="8">
        <v>10</v>
      </c>
      <c r="D58" s="11">
        <v>1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20"/>
      <c r="AJ58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58" s="29">
        <f ca="1">IF(Октябрь[[#This Row],[УСЛУГ]]&lt;&gt;"",Октябрь[[#This Row],[УСЛУГ]]*Октябрь[[#This Row],[Периодичность]],"")</f>
        <v>0</v>
      </c>
    </row>
    <row r="59" spans="1:37" ht="18.75" x14ac:dyDescent="0.25">
      <c r="A59" s="16"/>
      <c r="B59" s="2"/>
      <c r="C59" s="8">
        <v>10</v>
      </c>
      <c r="D59" s="11">
        <v>2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20"/>
      <c r="AJ59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59" s="29" t="str">
        <f ca="1">IF(Октябрь[[#This Row],[УСЛУГ]]&lt;&gt;"",Октябрь[[#This Row],[УСЛУГ]]*Октябрь[[#This Row],[Периодичность]],"")</f>
        <v/>
      </c>
    </row>
    <row r="60" spans="1:37" ht="18.75" x14ac:dyDescent="0.25">
      <c r="A60" s="16"/>
      <c r="B60" s="2"/>
      <c r="C60" s="8">
        <v>10</v>
      </c>
      <c r="D60" s="11">
        <v>3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20"/>
      <c r="AJ60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60" s="29" t="str">
        <f ca="1">IF(Октябрь[[#This Row],[УСЛУГ]]&lt;&gt;"",Октябрь[[#This Row],[УСЛУГ]]*Октябрь[[#This Row],[Периодичность]],"")</f>
        <v/>
      </c>
    </row>
    <row r="61" spans="1:37" ht="47.25" x14ac:dyDescent="0.25">
      <c r="A61" s="16" t="s">
        <v>82</v>
      </c>
      <c r="B61" s="2" t="s">
        <v>59</v>
      </c>
      <c r="C61" s="8">
        <v>10</v>
      </c>
      <c r="D61" s="11">
        <v>1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20"/>
      <c r="AJ61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61" s="29">
        <f ca="1">IF(Октябрь[[#This Row],[УСЛУГ]]&lt;&gt;"",Октябрь[[#This Row],[УСЛУГ]]*Октябрь[[#This Row],[Периодичность]],"")</f>
        <v>0</v>
      </c>
    </row>
    <row r="62" spans="1:37" ht="18.75" x14ac:dyDescent="0.25">
      <c r="A62" s="16"/>
      <c r="B62" s="2"/>
      <c r="C62" s="8">
        <v>10</v>
      </c>
      <c r="D62" s="11">
        <v>2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20"/>
      <c r="AJ62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62" s="29" t="str">
        <f ca="1">IF(Октябрь[[#This Row],[УСЛУГ]]&lt;&gt;"",Октябрь[[#This Row],[УСЛУГ]]*Октябрь[[#This Row],[Периодичность]],"")</f>
        <v/>
      </c>
    </row>
    <row r="63" spans="1:37" ht="18.75" x14ac:dyDescent="0.25">
      <c r="A63" s="16"/>
      <c r="B63" s="2"/>
      <c r="C63" s="8">
        <v>10</v>
      </c>
      <c r="D63" s="11">
        <v>3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20"/>
      <c r="AJ63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63" s="29" t="str">
        <f ca="1">IF(Октябрь[[#This Row],[УСЛУГ]]&lt;&gt;"",Октябрь[[#This Row],[УСЛУГ]]*Октябрь[[#This Row],[Периодичность]],"")</f>
        <v/>
      </c>
    </row>
    <row r="64" spans="1:37" ht="31.5" x14ac:dyDescent="0.25">
      <c r="A64" s="16" t="s">
        <v>37</v>
      </c>
      <c r="B64" s="2" t="s">
        <v>60</v>
      </c>
      <c r="C64" s="8">
        <v>5</v>
      </c>
      <c r="D64" s="11">
        <v>1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64" s="29">
        <f ca="1">IF(Октябрь[[#This Row],[УСЛУГ]]&lt;&gt;"",Октябрь[[#This Row],[УСЛУГ]]*Октябрь[[#This Row],[Периодичность]],"")</f>
        <v>0</v>
      </c>
    </row>
    <row r="65" spans="1:37" ht="18.75" x14ac:dyDescent="0.25">
      <c r="A65" s="16"/>
      <c r="B65" s="2"/>
      <c r="C65" s="8">
        <v>5</v>
      </c>
      <c r="D65" s="11">
        <v>2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20"/>
      <c r="AJ65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65" s="29" t="str">
        <f ca="1">IF(Октябрь[[#This Row],[УСЛУГ]]&lt;&gt;"",Октябрь[[#This Row],[УСЛУГ]]*Октябрь[[#This Row],[Периодичность]],"")</f>
        <v/>
      </c>
    </row>
    <row r="66" spans="1:37" x14ac:dyDescent="0.25">
      <c r="A66" s="16"/>
      <c r="B66" s="2"/>
      <c r="C66" s="8">
        <v>5</v>
      </c>
      <c r="D66" s="11">
        <v>3</v>
      </c>
      <c r="E66" s="18"/>
      <c r="F66" s="18"/>
      <c r="G66" s="18"/>
      <c r="H66" s="18"/>
      <c r="I66" s="18"/>
      <c r="J66" s="18"/>
      <c r="K66" s="10"/>
      <c r="L66" s="10"/>
      <c r="M66" s="10"/>
      <c r="N66" s="10"/>
      <c r="O66" s="10"/>
      <c r="P66" s="18"/>
      <c r="Q66" s="18"/>
      <c r="R66" s="10"/>
      <c r="S66" s="10"/>
      <c r="T66" s="10"/>
      <c r="U66" s="10"/>
      <c r="V66" s="10"/>
      <c r="W66" s="18"/>
      <c r="X66" s="18"/>
      <c r="Y66" s="10"/>
      <c r="Z66" s="10"/>
      <c r="AA66" s="10"/>
      <c r="AB66" s="10"/>
      <c r="AC66" s="10"/>
      <c r="AD66" s="18"/>
      <c r="AE66" s="18"/>
      <c r="AF66" s="18"/>
      <c r="AG66" s="18"/>
      <c r="AH66" s="18"/>
      <c r="AI66" s="19"/>
      <c r="AJ66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66" s="29" t="str">
        <f ca="1">IF(Октябрь[[#This Row],[УСЛУГ]]&lt;&gt;"",Октябрь[[#This Row],[УСЛУГ]]*Октябрь[[#This Row],[Периодичность]],"")</f>
        <v/>
      </c>
    </row>
    <row r="67" spans="1:37" ht="18.75" x14ac:dyDescent="0.25">
      <c r="A67" s="16" t="s">
        <v>38</v>
      </c>
      <c r="B67" s="2" t="s">
        <v>59</v>
      </c>
      <c r="C67" s="8">
        <v>7</v>
      </c>
      <c r="D67" s="11">
        <v>1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20"/>
      <c r="AJ67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67" s="29">
        <f ca="1">IF(Октябрь[[#This Row],[УСЛУГ]]&lt;&gt;"",Октябрь[[#This Row],[УСЛУГ]]*Октябрь[[#This Row],[Периодичность]],"")</f>
        <v>0</v>
      </c>
    </row>
    <row r="68" spans="1:37" ht="18.75" x14ac:dyDescent="0.25">
      <c r="A68" s="16"/>
      <c r="B68" s="2"/>
      <c r="C68" s="8">
        <v>7</v>
      </c>
      <c r="D68" s="11">
        <v>2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20"/>
      <c r="AJ68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68" s="29" t="str">
        <f ca="1">IF(Октябрь[[#This Row],[УСЛУГ]]&lt;&gt;"",Октябрь[[#This Row],[УСЛУГ]]*Октябрь[[#This Row],[Периодичность]],"")</f>
        <v/>
      </c>
    </row>
    <row r="69" spans="1:37" ht="18.75" x14ac:dyDescent="0.25">
      <c r="A69" s="16"/>
      <c r="B69" s="2"/>
      <c r="C69" s="8">
        <v>7</v>
      </c>
      <c r="D69" s="11">
        <v>3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20"/>
      <c r="AJ69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69" s="29" t="str">
        <f ca="1">IF(Октябрь[[#This Row],[УСЛУГ]]&lt;&gt;"",Октябрь[[#This Row],[УСЛУГ]]*Октябрь[[#This Row],[Периодичность]],"")</f>
        <v/>
      </c>
    </row>
    <row r="70" spans="1:37" ht="47.25" x14ac:dyDescent="0.25">
      <c r="A70" s="16" t="s">
        <v>81</v>
      </c>
      <c r="B70" s="2" t="s">
        <v>59</v>
      </c>
      <c r="C70" s="8">
        <v>5</v>
      </c>
      <c r="D70" s="11">
        <v>1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20"/>
      <c r="AJ70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70" s="29">
        <f ca="1">IF(Октябрь[[#This Row],[УСЛУГ]]&lt;&gt;"",Октябрь[[#This Row],[УСЛУГ]]*Октябрь[[#This Row],[Периодичность]],"")</f>
        <v>0</v>
      </c>
    </row>
    <row r="71" spans="1:37" ht="18.75" x14ac:dyDescent="0.25">
      <c r="A71" s="16"/>
      <c r="B71" s="2"/>
      <c r="C71" s="8">
        <v>5</v>
      </c>
      <c r="D71" s="11">
        <v>2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20"/>
      <c r="AJ71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71" s="29" t="str">
        <f ca="1">IF(Октябрь[[#This Row],[УСЛУГ]]&lt;&gt;"",Октябрь[[#This Row],[УСЛУГ]]*Октябрь[[#This Row],[Периодичность]],"")</f>
        <v/>
      </c>
    </row>
    <row r="72" spans="1:37" ht="18.75" x14ac:dyDescent="0.25">
      <c r="A72" s="16"/>
      <c r="B72" s="2"/>
      <c r="C72" s="8">
        <v>5</v>
      </c>
      <c r="D72" s="11">
        <v>3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20"/>
      <c r="AJ72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72" s="29" t="str">
        <f ca="1">IF(Октябрь[[#This Row],[УСЛУГ]]&lt;&gt;"",Октябрь[[#This Row],[УСЛУГ]]*Октябрь[[#This Row],[Периодичность]],"")</f>
        <v/>
      </c>
    </row>
    <row r="73" spans="1:37" ht="47.25" x14ac:dyDescent="0.25">
      <c r="A73" s="16" t="s">
        <v>80</v>
      </c>
      <c r="B73" s="2" t="s">
        <v>59</v>
      </c>
      <c r="C73" s="8">
        <v>5</v>
      </c>
      <c r="D73" s="11">
        <v>1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20"/>
      <c r="AJ73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73" s="29">
        <f ca="1">IF(Октябрь[[#This Row],[УСЛУГ]]&lt;&gt;"",Октябрь[[#This Row],[УСЛУГ]]*Октябрь[[#This Row],[Периодичность]],"")</f>
        <v>0</v>
      </c>
    </row>
    <row r="74" spans="1:37" ht="18.75" x14ac:dyDescent="0.25">
      <c r="A74" s="16"/>
      <c r="B74" s="2"/>
      <c r="C74" s="8">
        <v>5</v>
      </c>
      <c r="D74" s="11">
        <v>2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20"/>
      <c r="AJ74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74" s="29" t="str">
        <f ca="1">IF(Октябрь[[#This Row],[УСЛУГ]]&lt;&gt;"",Октябрь[[#This Row],[УСЛУГ]]*Октябрь[[#This Row],[Периодичность]],"")</f>
        <v/>
      </c>
    </row>
    <row r="75" spans="1:37" ht="18.75" x14ac:dyDescent="0.25">
      <c r="A75" s="16"/>
      <c r="B75" s="2"/>
      <c r="C75" s="8">
        <v>5</v>
      </c>
      <c r="D75" s="11">
        <v>3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20"/>
      <c r="AJ75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75" s="29" t="str">
        <f ca="1">IF(Октябрь[[#This Row],[УСЛУГ]]&lt;&gt;"",Октябрь[[#This Row],[УСЛУГ]]*Октябрь[[#This Row],[Периодичность]],"")</f>
        <v/>
      </c>
    </row>
    <row r="76" spans="1:37" ht="47.25" x14ac:dyDescent="0.25">
      <c r="A76" s="16" t="s">
        <v>79</v>
      </c>
      <c r="B76" s="2" t="s">
        <v>57</v>
      </c>
      <c r="C76" s="8">
        <v>45</v>
      </c>
      <c r="D76" s="11">
        <v>1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20"/>
      <c r="AJ76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76" s="29">
        <f ca="1">IF(Октябрь[[#This Row],[УСЛУГ]]&lt;&gt;"",Октябрь[[#This Row],[УСЛУГ]]*Октябрь[[#This Row],[Периодичность]],"")</f>
        <v>0</v>
      </c>
    </row>
    <row r="77" spans="1:37" ht="18.75" x14ac:dyDescent="0.25">
      <c r="A77" s="16"/>
      <c r="B77" s="2"/>
      <c r="C77" s="8">
        <v>45</v>
      </c>
      <c r="D77" s="11">
        <v>2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20"/>
      <c r="AJ77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77" s="29" t="str">
        <f ca="1">IF(Октябрь[[#This Row],[УСЛУГ]]&lt;&gt;"",Октябрь[[#This Row],[УСЛУГ]]*Октябрь[[#This Row],[Периодичность]],"")</f>
        <v/>
      </c>
    </row>
    <row r="78" spans="1:37" x14ac:dyDescent="0.25">
      <c r="A78" s="16"/>
      <c r="B78" s="2"/>
      <c r="C78" s="8">
        <v>45</v>
      </c>
      <c r="D78" s="11">
        <v>3</v>
      </c>
      <c r="E78" s="18"/>
      <c r="F78" s="18"/>
      <c r="G78" s="18"/>
      <c r="H78" s="18"/>
      <c r="I78" s="18"/>
      <c r="J78" s="18"/>
      <c r="K78" s="10"/>
      <c r="L78" s="10"/>
      <c r="M78" s="10"/>
      <c r="N78" s="10"/>
      <c r="O78" s="10"/>
      <c r="P78" s="18"/>
      <c r="Q78" s="18"/>
      <c r="R78" s="10"/>
      <c r="S78" s="10"/>
      <c r="T78" s="10"/>
      <c r="U78" s="10"/>
      <c r="V78" s="10"/>
      <c r="W78" s="18"/>
      <c r="X78" s="18"/>
      <c r="Y78" s="10"/>
      <c r="Z78" s="10"/>
      <c r="AA78" s="10"/>
      <c r="AB78" s="10"/>
      <c r="AC78" s="10"/>
      <c r="AD78" s="18"/>
      <c r="AE78" s="18"/>
      <c r="AF78" s="18"/>
      <c r="AG78" s="18"/>
      <c r="AH78" s="18"/>
      <c r="AI78" s="19"/>
      <c r="AJ78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78" s="29" t="str">
        <f ca="1">IF(Октябрь[[#This Row],[УСЛУГ]]&lt;&gt;"",Октябрь[[#This Row],[УСЛУГ]]*Октябрь[[#This Row],[Периодичность]],"")</f>
        <v/>
      </c>
    </row>
    <row r="79" spans="1:37" ht="47.25" x14ac:dyDescent="0.25">
      <c r="A79" s="16" t="s">
        <v>78</v>
      </c>
      <c r="B79" s="2" t="s">
        <v>59</v>
      </c>
      <c r="C79" s="8">
        <v>10</v>
      </c>
      <c r="D79" s="11">
        <v>1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79" s="29">
        <f ca="1">IF(Октябрь[[#This Row],[УСЛУГ]]&lt;&gt;"",Октябрь[[#This Row],[УСЛУГ]]*Октябрь[[#This Row],[Периодичность]],"")</f>
        <v>0</v>
      </c>
    </row>
    <row r="80" spans="1:37" ht="18.75" x14ac:dyDescent="0.25">
      <c r="A80" s="16"/>
      <c r="B80" s="2"/>
      <c r="C80" s="8">
        <v>10</v>
      </c>
      <c r="D80" s="11">
        <v>2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20"/>
      <c r="AJ80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80" s="29" t="str">
        <f ca="1">IF(Октябрь[[#This Row],[УСЛУГ]]&lt;&gt;"",Октябрь[[#This Row],[УСЛУГ]]*Октябрь[[#This Row],[Периодичность]],"")</f>
        <v/>
      </c>
    </row>
    <row r="81" spans="1:37" x14ac:dyDescent="0.25">
      <c r="A81" s="16"/>
      <c r="B81" s="2"/>
      <c r="C81" s="8">
        <v>10</v>
      </c>
      <c r="D81" s="11">
        <v>3</v>
      </c>
      <c r="E81" s="18"/>
      <c r="F81" s="18"/>
      <c r="G81" s="18"/>
      <c r="H81" s="18"/>
      <c r="I81" s="18"/>
      <c r="J81" s="18"/>
      <c r="K81" s="10"/>
      <c r="L81" s="10"/>
      <c r="M81" s="10"/>
      <c r="N81" s="10"/>
      <c r="O81" s="10"/>
      <c r="P81" s="18"/>
      <c r="Q81" s="18"/>
      <c r="R81" s="10"/>
      <c r="S81" s="10"/>
      <c r="T81" s="10"/>
      <c r="U81" s="10"/>
      <c r="V81" s="10"/>
      <c r="W81" s="18"/>
      <c r="X81" s="18"/>
      <c r="Y81" s="10"/>
      <c r="Z81" s="10"/>
      <c r="AA81" s="10"/>
      <c r="AB81" s="10"/>
      <c r="AC81" s="10"/>
      <c r="AD81" s="18"/>
      <c r="AE81" s="18"/>
      <c r="AF81" s="18"/>
      <c r="AG81" s="18"/>
      <c r="AH81" s="18"/>
      <c r="AI81" s="19"/>
      <c r="AJ81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81" s="29" t="str">
        <f ca="1">IF(Октябрь[[#This Row],[УСЛУГ]]&lt;&gt;"",Октябрь[[#This Row],[УСЛУГ]]*Октябрь[[#This Row],[Периодичность]],"")</f>
        <v/>
      </c>
    </row>
  </sheetData>
  <mergeCells count="20">
    <mergeCell ref="AJ7:AJ11"/>
    <mergeCell ref="AK7:AK11"/>
    <mergeCell ref="E10:AI11"/>
    <mergeCell ref="A19:A23"/>
    <mergeCell ref="B19:C23"/>
    <mergeCell ref="D19:D23"/>
    <mergeCell ref="E19:AI20"/>
    <mergeCell ref="AJ19:AJ23"/>
    <mergeCell ref="AK19:AK23"/>
    <mergeCell ref="E22:AI23"/>
    <mergeCell ref="A7:A11"/>
    <mergeCell ref="B7:B11"/>
    <mergeCell ref="C7:C11"/>
    <mergeCell ref="D7:D11"/>
    <mergeCell ref="E7:AI8"/>
    <mergeCell ref="A2:AJ2"/>
    <mergeCell ref="A3:AJ3"/>
    <mergeCell ref="J4:L4"/>
    <mergeCell ref="M4:U4"/>
    <mergeCell ref="M5:Q5"/>
  </mergeCells>
  <conditionalFormatting sqref="E9:AI9">
    <cfRule type="expression" dxfId="294" priority="2">
      <formula>WEEKDAY(E9:AI9,2)&gt;5</formula>
    </cfRule>
  </conditionalFormatting>
  <conditionalFormatting sqref="E21:AI21">
    <cfRule type="expression" dxfId="293" priority="1">
      <formula>WEEKDAY(E21:AI21,2)&gt;5</formula>
    </cfRule>
  </conditionalFormatting>
  <dataValidations count="2">
    <dataValidation type="list" allowBlank="1" showInputMessage="1" showErrorMessage="1" sqref="D25:D81">
      <formula1>INDIRECT("Посещения")</formula1>
    </dataValidation>
    <dataValidation type="list" allowBlank="1" showInputMessage="1" showErrorMessage="1" sqref="A25:A81">
      <formula1>INDIRECT("Услуги[Кратко]")</formula1>
    </dataValidation>
  </dataValidations>
  <pageMargins left="0.25" right="0.25" top="0.75" bottom="0.75" header="0.3" footer="0.3"/>
  <pageSetup paperSize="9" scale="52" fitToHeight="0" orientation="landscape" horizontalDpi="300" verticalDpi="300" r:id="rId1"/>
  <ignoredErrors>
    <ignoredError sqref="E13:E17 AI13:AK17 B13:B17" calculatedColumn="1"/>
  </ignoredErrors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105"/>
  <sheetViews>
    <sheetView zoomScale="80" zoomScaleNormal="80" workbookViewId="0">
      <selection activeCell="B5" sqref="B5"/>
    </sheetView>
  </sheetViews>
  <sheetFormatPr defaultRowHeight="15.75" x14ac:dyDescent="0.25"/>
  <cols>
    <col min="1" max="1" width="21.42578125" style="3" customWidth="1"/>
    <col min="2" max="2" width="14.140625" style="3" customWidth="1"/>
    <col min="3" max="3" width="17.5703125" style="3" customWidth="1"/>
    <col min="4" max="4" width="9.28515625" style="3" customWidth="1"/>
    <col min="5" max="5" width="11.28515625" style="3" bestFit="1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7" ht="18.75" x14ac:dyDescent="0.25">
      <c r="A2" s="60" t="s">
        <v>72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</row>
    <row r="3" spans="1:37" ht="18.75" x14ac:dyDescent="0.25">
      <c r="A3" s="60" t="s">
        <v>73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</row>
    <row r="4" spans="1:37" ht="18.75" x14ac:dyDescent="0.25">
      <c r="I4" s="13"/>
      <c r="J4" s="61" t="s">
        <v>74</v>
      </c>
      <c r="K4" s="61"/>
      <c r="L4" s="61"/>
      <c r="M4" s="62"/>
      <c r="N4" s="54"/>
      <c r="O4" s="54"/>
      <c r="P4" s="54"/>
      <c r="Q4" s="54"/>
      <c r="R4" s="54"/>
      <c r="S4" s="54"/>
      <c r="T4" s="54"/>
      <c r="U4" s="54"/>
    </row>
    <row r="5" spans="1:37" ht="18.75" x14ac:dyDescent="0.25">
      <c r="C5" s="17"/>
      <c r="L5" s="12" t="s">
        <v>75</v>
      </c>
      <c r="M5" s="63" t="s">
        <v>144</v>
      </c>
      <c r="N5" s="64"/>
      <c r="O5" s="64"/>
      <c r="P5" s="64"/>
      <c r="Q5" s="64"/>
      <c r="R5" s="37">
        <f>Год[Год]</f>
        <v>2023</v>
      </c>
      <c r="S5" s="38" t="s">
        <v>138</v>
      </c>
      <c r="T5" s="14"/>
      <c r="U5" s="14"/>
    </row>
    <row r="6" spans="1:37" ht="18.75" x14ac:dyDescent="0.25">
      <c r="C6" s="17"/>
      <c r="L6" s="12"/>
      <c r="M6" s="22"/>
      <c r="N6" s="33"/>
      <c r="O6" s="33"/>
      <c r="P6" s="33"/>
      <c r="Q6" s="33"/>
      <c r="R6" s="22"/>
      <c r="S6" s="33"/>
      <c r="T6" s="14"/>
      <c r="U6" s="14"/>
    </row>
    <row r="7" spans="1:37" ht="26.25" customHeight="1" x14ac:dyDescent="0.25">
      <c r="A7" s="49"/>
      <c r="B7" s="57" t="s">
        <v>121</v>
      </c>
      <c r="C7" s="57" t="s">
        <v>120</v>
      </c>
      <c r="D7" s="58" t="s">
        <v>67</v>
      </c>
      <c r="E7" s="43" t="s">
        <v>55</v>
      </c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45"/>
      <c r="AI7" s="39" t="s">
        <v>70</v>
      </c>
      <c r="AJ7" s="39" t="s">
        <v>70</v>
      </c>
      <c r="AK7" s="4"/>
    </row>
    <row r="8" spans="1:37" ht="15.75" customHeight="1" x14ac:dyDescent="0.25">
      <c r="A8" s="49"/>
      <c r="B8" s="52"/>
      <c r="C8" s="52"/>
      <c r="D8" s="59"/>
      <c r="E8" s="53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5"/>
      <c r="AI8" s="39"/>
      <c r="AJ8" s="39"/>
      <c r="AK8" s="4"/>
    </row>
    <row r="9" spans="1:37" x14ac:dyDescent="0.25">
      <c r="A9" s="49"/>
      <c r="B9" s="52"/>
      <c r="C9" s="52"/>
      <c r="D9" s="59"/>
      <c r="E9" s="23">
        <f>Настройки!E17</f>
        <v>45231</v>
      </c>
      <c r="F9" s="23">
        <f>Настройки!F17</f>
        <v>45232</v>
      </c>
      <c r="G9" s="23">
        <f>Настройки!G17</f>
        <v>45233</v>
      </c>
      <c r="H9" s="23">
        <f>Настройки!H17</f>
        <v>45234</v>
      </c>
      <c r="I9" s="23">
        <f>Настройки!I17</f>
        <v>45235</v>
      </c>
      <c r="J9" s="23">
        <f>Настройки!J17</f>
        <v>45236</v>
      </c>
      <c r="K9" s="23">
        <f>Настройки!K17</f>
        <v>45237</v>
      </c>
      <c r="L9" s="23">
        <f>Настройки!L17</f>
        <v>45238</v>
      </c>
      <c r="M9" s="23">
        <f>Настройки!M17</f>
        <v>45239</v>
      </c>
      <c r="N9" s="23">
        <f>Настройки!N17</f>
        <v>45240</v>
      </c>
      <c r="O9" s="23">
        <f>Настройки!O17</f>
        <v>45241</v>
      </c>
      <c r="P9" s="23">
        <f>Настройки!P17</f>
        <v>45242</v>
      </c>
      <c r="Q9" s="23">
        <f>Настройки!Q17</f>
        <v>45243</v>
      </c>
      <c r="R9" s="23">
        <f>Настройки!R17</f>
        <v>45244</v>
      </c>
      <c r="S9" s="23">
        <f>Настройки!S17</f>
        <v>45245</v>
      </c>
      <c r="T9" s="23">
        <f>Настройки!T17</f>
        <v>45246</v>
      </c>
      <c r="U9" s="23">
        <f>Настройки!U17</f>
        <v>45247</v>
      </c>
      <c r="V9" s="23">
        <f>Настройки!V17</f>
        <v>45248</v>
      </c>
      <c r="W9" s="23">
        <f>Настройки!W17</f>
        <v>45249</v>
      </c>
      <c r="X9" s="23">
        <f>Настройки!X17</f>
        <v>45250</v>
      </c>
      <c r="Y9" s="23">
        <f>Настройки!Y17</f>
        <v>45251</v>
      </c>
      <c r="Z9" s="23">
        <f>Настройки!Z17</f>
        <v>45252</v>
      </c>
      <c r="AA9" s="23">
        <f>Настройки!AA17</f>
        <v>45253</v>
      </c>
      <c r="AB9" s="23">
        <f>Настройки!AB17</f>
        <v>45254</v>
      </c>
      <c r="AC9" s="23">
        <f>Настройки!AC17</f>
        <v>45255</v>
      </c>
      <c r="AD9" s="23">
        <f>Настройки!AD17</f>
        <v>45256</v>
      </c>
      <c r="AE9" s="23">
        <f>Настройки!AE17</f>
        <v>45257</v>
      </c>
      <c r="AF9" s="23">
        <f>Настройки!AF17</f>
        <v>45258</v>
      </c>
      <c r="AG9" s="23">
        <f>Настройки!AG17</f>
        <v>45259</v>
      </c>
      <c r="AH9" s="23">
        <f>Настройки!AH17</f>
        <v>45260</v>
      </c>
      <c r="AI9" s="39"/>
      <c r="AJ9" s="39"/>
      <c r="AK9" s="4"/>
    </row>
    <row r="10" spans="1:37" ht="15.75" customHeight="1" x14ac:dyDescent="0.25">
      <c r="A10" s="49"/>
      <c r="B10" s="52"/>
      <c r="C10" s="52"/>
      <c r="D10" s="59"/>
      <c r="E10" s="43" t="s">
        <v>54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69"/>
      <c r="AI10" s="39"/>
      <c r="AJ10" s="39"/>
      <c r="AK10" s="4"/>
    </row>
    <row r="11" spans="1:37" x14ac:dyDescent="0.25">
      <c r="A11" s="57"/>
      <c r="B11" s="52"/>
      <c r="C11" s="52"/>
      <c r="D11" s="59"/>
      <c r="E11" s="46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8"/>
      <c r="AI11" s="39"/>
      <c r="AJ11" s="39"/>
    </row>
    <row r="12" spans="1:37" ht="22.5" customHeight="1" x14ac:dyDescent="0.25">
      <c r="A12" s="3" t="s">
        <v>88</v>
      </c>
      <c r="B12" s="3" t="s">
        <v>87</v>
      </c>
      <c r="C12" s="3" t="s">
        <v>119</v>
      </c>
      <c r="D12" s="9" t="s">
        <v>66</v>
      </c>
      <c r="E12" s="15" t="s">
        <v>89</v>
      </c>
      <c r="F12" s="15" t="s">
        <v>90</v>
      </c>
      <c r="G12" s="15" t="s">
        <v>91</v>
      </c>
      <c r="H12" s="15" t="s">
        <v>92</v>
      </c>
      <c r="I12" s="15" t="s">
        <v>93</v>
      </c>
      <c r="J12" s="15" t="s">
        <v>94</v>
      </c>
      <c r="K12" s="15" t="s">
        <v>95</v>
      </c>
      <c r="L12" s="15" t="s">
        <v>96</v>
      </c>
      <c r="M12" s="15" t="s">
        <v>97</v>
      </c>
      <c r="N12" s="15" t="s">
        <v>98</v>
      </c>
      <c r="O12" s="15" t="s">
        <v>99</v>
      </c>
      <c r="P12" s="15" t="s">
        <v>100</v>
      </c>
      <c r="Q12" s="15" t="s">
        <v>101</v>
      </c>
      <c r="R12" s="15" t="s">
        <v>102</v>
      </c>
      <c r="S12" s="15" t="s">
        <v>103</v>
      </c>
      <c r="T12" s="15" t="s">
        <v>104</v>
      </c>
      <c r="U12" s="15" t="s">
        <v>105</v>
      </c>
      <c r="V12" s="15" t="s">
        <v>106</v>
      </c>
      <c r="W12" s="15" t="s">
        <v>107</v>
      </c>
      <c r="X12" s="15" t="s">
        <v>108</v>
      </c>
      <c r="Y12" s="15" t="s">
        <v>109</v>
      </c>
      <c r="Z12" s="15" t="s">
        <v>110</v>
      </c>
      <c r="AA12" s="15" t="s">
        <v>111</v>
      </c>
      <c r="AB12" s="15" t="s">
        <v>112</v>
      </c>
      <c r="AC12" s="15" t="s">
        <v>113</v>
      </c>
      <c r="AD12" s="15" t="s">
        <v>114</v>
      </c>
      <c r="AE12" s="15" t="s">
        <v>115</v>
      </c>
      <c r="AF12" s="15" t="s">
        <v>116</v>
      </c>
      <c r="AG12" s="15" t="s">
        <v>117</v>
      </c>
      <c r="AH12" s="15" t="s">
        <v>118</v>
      </c>
      <c r="AI12" s="3" t="s">
        <v>68</v>
      </c>
      <c r="AJ12" s="3" t="s">
        <v>69</v>
      </c>
    </row>
    <row r="13" spans="1:37" ht="22.5" customHeight="1" x14ac:dyDescent="0.25">
      <c r="A13" s="5" t="s">
        <v>62</v>
      </c>
      <c r="B13" s="3">
        <f>SUMPRODUCT((Настройки!$E$31:$AH$31=1)*E16:AH16)</f>
        <v>0</v>
      </c>
      <c r="C13" s="15"/>
      <c r="D13" s="5">
        <v>1</v>
      </c>
      <c r="E13" s="3">
        <f>SUMPRODUCT((Ноябрь[№]=1)*Ноябрь[1],Ноябрь[Периодичность])</f>
        <v>0</v>
      </c>
      <c r="F13" s="30">
        <f>SUMPRODUCT((Ноябрь[№]=1)*Ноябрь[2],Ноябрь[Периодичность])</f>
        <v>0</v>
      </c>
      <c r="G13" s="30">
        <f>SUMPRODUCT((Ноябрь[№]=1)*Ноябрь[3],Ноябрь[Периодичность])</f>
        <v>0</v>
      </c>
      <c r="H13" s="30">
        <f>SUMPRODUCT((Ноябрь[№]=1)*Ноябрь[4],Ноябрь[Периодичность])</f>
        <v>0</v>
      </c>
      <c r="I13" s="30">
        <f>SUMPRODUCT((Ноябрь[№]=1)*Ноябрь[5],Ноябрь[Периодичность])</f>
        <v>0</v>
      </c>
      <c r="J13" s="30">
        <f>SUMPRODUCT((Ноябрь[№]=1)*Ноябрь[6],Ноябрь[Периодичность])</f>
        <v>0</v>
      </c>
      <c r="K13" s="30">
        <f>SUMPRODUCT((Ноябрь[№]=1)*Ноябрь[7],Ноябрь[Периодичность])</f>
        <v>0</v>
      </c>
      <c r="L13" s="30">
        <f>SUMPRODUCT((Ноябрь[№]=1)*Ноябрь[8],Ноябрь[Периодичность])</f>
        <v>0</v>
      </c>
      <c r="M13" s="30">
        <f>SUMPRODUCT((Ноябрь[№]=1)*Ноябрь[9],Ноябрь[Периодичность])</f>
        <v>0</v>
      </c>
      <c r="N13" s="30">
        <f>SUMPRODUCT((Ноябрь[№]=1)*Ноябрь[10],Ноябрь[Периодичность])</f>
        <v>0</v>
      </c>
      <c r="O13" s="30">
        <f>SUMPRODUCT((Ноябрь[№]=1)*Ноябрь[11],Ноябрь[Периодичность])</f>
        <v>0</v>
      </c>
      <c r="P13" s="30">
        <f>SUMPRODUCT((Ноябрь[№]=1)*Ноябрь[12],Ноябрь[Периодичность])</f>
        <v>0</v>
      </c>
      <c r="Q13" s="30">
        <f>SUMPRODUCT((Ноябрь[№]=1)*Ноябрь[13],Ноябрь[Периодичность])</f>
        <v>0</v>
      </c>
      <c r="R13" s="30">
        <f>SUMPRODUCT((Ноябрь[№]=1)*Ноябрь[14],Ноябрь[Периодичность])</f>
        <v>0</v>
      </c>
      <c r="S13" s="30">
        <f>SUMPRODUCT((Ноябрь[№]=1)*Ноябрь[15],Ноябрь[Периодичность])</f>
        <v>0</v>
      </c>
      <c r="T13" s="30">
        <f>SUMPRODUCT((Ноябрь[№]=1)*Ноябрь[16],Ноябрь[Периодичность])</f>
        <v>0</v>
      </c>
      <c r="U13" s="30">
        <f>SUMPRODUCT((Ноябрь[№]=1)*Ноябрь[17],Ноябрь[Периодичность])</f>
        <v>0</v>
      </c>
      <c r="V13" s="30">
        <f>SUMPRODUCT((Ноябрь[№]=1)*Ноябрь[18],Ноябрь[Периодичность])</f>
        <v>0</v>
      </c>
      <c r="W13" s="30">
        <f>SUMPRODUCT((Ноябрь[№]=1)*Ноябрь[19],Ноябрь[Периодичность])</f>
        <v>0</v>
      </c>
      <c r="X13" s="30">
        <f>SUMPRODUCT((Ноябрь[№]=1)*Ноябрь[20],Ноябрь[Периодичность])</f>
        <v>0</v>
      </c>
      <c r="Y13" s="30">
        <f>SUMPRODUCT((Ноябрь[№]=1)*Ноябрь[21],Ноябрь[Периодичность])</f>
        <v>0</v>
      </c>
      <c r="Z13" s="30">
        <f>SUMPRODUCT((Ноябрь[№]=1)*Ноябрь[22],Ноябрь[Периодичность])</f>
        <v>0</v>
      </c>
      <c r="AA13" s="30">
        <f>SUMPRODUCT((Ноябрь[№]=1)*Ноябрь[23],Ноябрь[Периодичность])</f>
        <v>0</v>
      </c>
      <c r="AB13" s="30">
        <f>SUMPRODUCT((Ноябрь[№]=1)*Ноябрь[24],Ноябрь[Периодичность])</f>
        <v>0</v>
      </c>
      <c r="AC13" s="30">
        <f>SUMPRODUCT((Ноябрь[№]=1)*Ноябрь[25],Ноябрь[Периодичность])</f>
        <v>0</v>
      </c>
      <c r="AD13" s="30">
        <f>SUMPRODUCT((Ноябрь[№]=1)*Ноябрь[26],Ноябрь[Периодичность])</f>
        <v>0</v>
      </c>
      <c r="AE13" s="30">
        <f>SUMPRODUCT((Ноябрь[№]=1)*Ноябрь[27],Ноябрь[Периодичность])</f>
        <v>0</v>
      </c>
      <c r="AF13" s="30">
        <f>SUMPRODUCT((Ноябрь[№]=1)*Ноябрь[28],Ноябрь[Периодичность])</f>
        <v>0</v>
      </c>
      <c r="AG13" s="30">
        <f>SUMPRODUCT((Ноябрь[№]=1)*Ноябрь[29],Ноябрь[Периодичность])</f>
        <v>0</v>
      </c>
      <c r="AH13" s="30">
        <f>SUMPRODUCT((Ноябрь[№]=1)*Ноябрь[30],Ноябрь[Периодичность])</f>
        <v>0</v>
      </c>
    </row>
    <row r="14" spans="1:37" ht="20.25" customHeight="1" x14ac:dyDescent="0.25">
      <c r="B14" s="3">
        <f>SUMPRODUCT((Настройки!$E$31:$AH$31=2)*E16:AH16)</f>
        <v>0</v>
      </c>
      <c r="D14" s="5">
        <v>2</v>
      </c>
      <c r="E14" s="3">
        <f>SUMPRODUCT((Ноябрь[№]=2)*Ноябрь[1],Ноябрь[Периодичность])</f>
        <v>0</v>
      </c>
      <c r="F14" s="30">
        <f>SUMPRODUCT((Ноябрь[№]=2)*Ноябрь[2],Ноябрь[Периодичность])</f>
        <v>0</v>
      </c>
      <c r="G14" s="30">
        <f>SUMPRODUCT((Ноябрь[№]=2)*Ноябрь[3],Ноябрь[Периодичность])</f>
        <v>0</v>
      </c>
      <c r="H14" s="30">
        <f>SUMPRODUCT((Ноябрь[№]=2)*Ноябрь[4],Ноябрь[Периодичность])</f>
        <v>0</v>
      </c>
      <c r="I14" s="30">
        <f>SUMPRODUCT((Ноябрь[№]=2)*Ноябрь[5],Ноябрь[Периодичность])</f>
        <v>0</v>
      </c>
      <c r="J14" s="30">
        <f>SUMPRODUCT((Ноябрь[№]=2)*Ноябрь[6],Ноябрь[Периодичность])</f>
        <v>0</v>
      </c>
      <c r="K14" s="30">
        <f>SUMPRODUCT((Ноябрь[№]=2)*Ноябрь[7],Ноябрь[Периодичность])</f>
        <v>0</v>
      </c>
      <c r="L14" s="30">
        <f>SUMPRODUCT((Ноябрь[№]=2)*Ноябрь[8],Ноябрь[Периодичность])</f>
        <v>0</v>
      </c>
      <c r="M14" s="30">
        <f>SUMPRODUCT((Ноябрь[№]=2)*Ноябрь[9],Ноябрь[Периодичность])</f>
        <v>0</v>
      </c>
      <c r="N14" s="30">
        <f>SUMPRODUCT((Ноябрь[№]=2)*Ноябрь[10],Ноябрь[Периодичность])</f>
        <v>0</v>
      </c>
      <c r="O14" s="30">
        <f>SUMPRODUCT((Ноябрь[№]=2)*Ноябрь[11],Ноябрь[Периодичность])</f>
        <v>0</v>
      </c>
      <c r="P14" s="30">
        <f>SUMPRODUCT((Ноябрь[№]=2)*Ноябрь[12],Ноябрь[Периодичность])</f>
        <v>0</v>
      </c>
      <c r="Q14" s="30">
        <f>SUMPRODUCT((Ноябрь[№]=2)*Ноябрь[13],Ноябрь[Периодичность])</f>
        <v>0</v>
      </c>
      <c r="R14" s="30">
        <f>SUMPRODUCT((Ноябрь[№]=2)*Ноябрь[14],Ноябрь[Периодичность])</f>
        <v>0</v>
      </c>
      <c r="S14" s="30">
        <f>SUMPRODUCT((Ноябрь[№]=2)*Ноябрь[15],Ноябрь[Периодичность])</f>
        <v>0</v>
      </c>
      <c r="T14" s="30">
        <f>SUMPRODUCT((Ноябрь[№]=2)*Ноябрь[16],Ноябрь[Периодичность])</f>
        <v>0</v>
      </c>
      <c r="U14" s="30">
        <f>SUMPRODUCT((Ноябрь[№]=2)*Ноябрь[17],Ноябрь[Периодичность])</f>
        <v>0</v>
      </c>
      <c r="V14" s="30">
        <f>SUMPRODUCT((Ноябрь[№]=2)*Ноябрь[18],Ноябрь[Периодичность])</f>
        <v>0</v>
      </c>
      <c r="W14" s="30">
        <f>SUMPRODUCT((Ноябрь[№]=2)*Ноябрь[19],Ноябрь[Периодичность])</f>
        <v>0</v>
      </c>
      <c r="X14" s="30">
        <f>SUMPRODUCT((Ноябрь[№]=2)*Ноябрь[20],Ноябрь[Периодичность])</f>
        <v>0</v>
      </c>
      <c r="Y14" s="30">
        <f>SUMPRODUCT((Ноябрь[№]=2)*Ноябрь[21],Ноябрь[Периодичность])</f>
        <v>0</v>
      </c>
      <c r="Z14" s="30">
        <f>SUMPRODUCT((Ноябрь[№]=2)*Ноябрь[22],Ноябрь[Периодичность])</f>
        <v>0</v>
      </c>
      <c r="AA14" s="30">
        <f>SUMPRODUCT((Ноябрь[№]=2)*Ноябрь[23],Ноябрь[Периодичность])</f>
        <v>0</v>
      </c>
      <c r="AB14" s="30">
        <f>SUMPRODUCT((Ноябрь[№]=2)*Ноябрь[24],Ноябрь[Периодичность])</f>
        <v>0</v>
      </c>
      <c r="AC14" s="30">
        <f>SUMPRODUCT((Ноябрь[№]=2)*Ноябрь[25],Ноябрь[Периодичность])</f>
        <v>0</v>
      </c>
      <c r="AD14" s="30">
        <f>SUMPRODUCT((Ноябрь[№]=2)*Ноябрь[26],Ноябрь[Периодичность])</f>
        <v>0</v>
      </c>
      <c r="AE14" s="30">
        <f>SUMPRODUCT((Ноябрь[№]=2)*Ноябрь[27],Ноябрь[Периодичность])</f>
        <v>0</v>
      </c>
      <c r="AF14" s="30">
        <f>SUMPRODUCT((Ноябрь[№]=2)*Ноябрь[28],Ноябрь[Периодичность])</f>
        <v>0</v>
      </c>
      <c r="AG14" s="30">
        <f>SUMPRODUCT((Ноябрь[№]=2)*Ноябрь[29],Ноябрь[Периодичность])</f>
        <v>0</v>
      </c>
      <c r="AH14" s="30">
        <f>SUMPRODUCT((Ноябрь[№]=2)*Ноябрь[30],Ноябрь[Периодичность])</f>
        <v>0</v>
      </c>
    </row>
    <row r="15" spans="1:37" ht="22.5" customHeight="1" x14ac:dyDescent="0.25">
      <c r="B15" s="3">
        <f>SUMPRODUCT((Настройки!$E$31:$AH$31=3)*E16:AH16)</f>
        <v>0</v>
      </c>
      <c r="D15" s="5">
        <v>3</v>
      </c>
      <c r="E15" s="3">
        <f>SUMPRODUCT((Ноябрь[№]=3)*Ноябрь[1],Ноябрь[Периодичность])</f>
        <v>0</v>
      </c>
      <c r="F15" s="30">
        <f>SUMPRODUCT((Ноябрь[№]=3)*Ноябрь[2],Ноябрь[Периодичность])</f>
        <v>0</v>
      </c>
      <c r="G15" s="30">
        <f>SUMPRODUCT((Ноябрь[№]=3)*Ноябрь[3],Ноябрь[Периодичность])</f>
        <v>0</v>
      </c>
      <c r="H15" s="30">
        <f>SUMPRODUCT((Ноябрь[№]=3)*Ноябрь[4],Ноябрь[Периодичность])</f>
        <v>0</v>
      </c>
      <c r="I15" s="30">
        <f>SUMPRODUCT((Ноябрь[№]=3)*Ноябрь[5],Ноябрь[Периодичность])</f>
        <v>0</v>
      </c>
      <c r="J15" s="30">
        <f>SUMPRODUCT((Ноябрь[№]=3)*Ноябрь[6],Ноябрь[Периодичность])</f>
        <v>0</v>
      </c>
      <c r="K15" s="30">
        <f>SUMPRODUCT((Ноябрь[№]=3)*Ноябрь[7],Ноябрь[Периодичность])</f>
        <v>0</v>
      </c>
      <c r="L15" s="30">
        <f>SUMPRODUCT((Ноябрь[№]=3)*Ноябрь[8],Ноябрь[Периодичность])</f>
        <v>0</v>
      </c>
      <c r="M15" s="30">
        <f>SUMPRODUCT((Ноябрь[№]=3)*Ноябрь[9],Ноябрь[Периодичность])</f>
        <v>0</v>
      </c>
      <c r="N15" s="30">
        <f>SUMPRODUCT((Ноябрь[№]=3)*Ноябрь[10],Ноябрь[Периодичность])</f>
        <v>0</v>
      </c>
      <c r="O15" s="30">
        <f>SUMPRODUCT((Ноябрь[№]=3)*Ноябрь[11],Ноябрь[Периодичность])</f>
        <v>0</v>
      </c>
      <c r="P15" s="30">
        <f>SUMPRODUCT((Ноябрь[№]=3)*Ноябрь[12],Ноябрь[Периодичность])</f>
        <v>0</v>
      </c>
      <c r="Q15" s="30">
        <f>SUMPRODUCT((Ноябрь[№]=3)*Ноябрь[13],Ноябрь[Периодичность])</f>
        <v>0</v>
      </c>
      <c r="R15" s="30">
        <f>SUMPRODUCT((Ноябрь[№]=3)*Ноябрь[14],Ноябрь[Периодичность])</f>
        <v>0</v>
      </c>
      <c r="S15" s="30">
        <f>SUMPRODUCT((Ноябрь[№]=3)*Ноябрь[15],Ноябрь[Периодичность])</f>
        <v>0</v>
      </c>
      <c r="T15" s="30">
        <f>SUMPRODUCT((Ноябрь[№]=3)*Ноябрь[16],Ноябрь[Периодичность])</f>
        <v>0</v>
      </c>
      <c r="U15" s="30">
        <f>SUMPRODUCT((Ноябрь[№]=3)*Ноябрь[17],Ноябрь[Периодичность])</f>
        <v>0</v>
      </c>
      <c r="V15" s="30">
        <f>SUMPRODUCT((Ноябрь[№]=3)*Ноябрь[18],Ноябрь[Периодичность])</f>
        <v>0</v>
      </c>
      <c r="W15" s="30">
        <f>SUMPRODUCT((Ноябрь[№]=3)*Ноябрь[19],Ноябрь[Периодичность])</f>
        <v>0</v>
      </c>
      <c r="X15" s="30">
        <f>SUMPRODUCT((Ноябрь[№]=3)*Ноябрь[20],Ноябрь[Периодичность])</f>
        <v>0</v>
      </c>
      <c r="Y15" s="30">
        <f>SUMPRODUCT((Ноябрь[№]=3)*Ноябрь[21],Ноябрь[Периодичность])</f>
        <v>0</v>
      </c>
      <c r="Z15" s="30">
        <f>SUMPRODUCT((Ноябрь[№]=3)*Ноябрь[22],Ноябрь[Периодичность])</f>
        <v>0</v>
      </c>
      <c r="AA15" s="30">
        <f>SUMPRODUCT((Ноябрь[№]=3)*Ноябрь[23],Ноябрь[Периодичность])</f>
        <v>0</v>
      </c>
      <c r="AB15" s="30">
        <f>SUMPRODUCT((Ноябрь[№]=3)*Ноябрь[24],Ноябрь[Периодичность])</f>
        <v>0</v>
      </c>
      <c r="AC15" s="30">
        <f>SUMPRODUCT((Ноябрь[№]=3)*Ноябрь[25],Ноябрь[Периодичность])</f>
        <v>0</v>
      </c>
      <c r="AD15" s="30">
        <f>SUMPRODUCT((Ноябрь[№]=3)*Ноябрь[26],Ноябрь[Периодичность])</f>
        <v>0</v>
      </c>
      <c r="AE15" s="30">
        <f>SUMPRODUCT((Ноябрь[№]=3)*Ноябрь[27],Ноябрь[Периодичность])</f>
        <v>0</v>
      </c>
      <c r="AF15" s="30">
        <f>SUMPRODUCT((Ноябрь[№]=3)*Ноябрь[28],Ноябрь[Периодичность])</f>
        <v>0</v>
      </c>
      <c r="AG15" s="30">
        <f>SUMPRODUCT((Ноябрь[№]=3)*Ноябрь[29],Ноябрь[Периодичность])</f>
        <v>0</v>
      </c>
      <c r="AH15" s="30">
        <f>SUMPRODUCT((Ноябрь[№]=3)*Ноябрь[30],Ноябрь[Периодичность])</f>
        <v>0</v>
      </c>
      <c r="AJ15" s="11"/>
    </row>
    <row r="16" spans="1:37" ht="18" customHeight="1" x14ac:dyDescent="0.25">
      <c r="B16" s="3">
        <f>SUMPRODUCT((Настройки!$E$31:$AH$31=4)*E16:AH16)</f>
        <v>0</v>
      </c>
      <c r="D16" s="5"/>
      <c r="E16" s="3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J16" s="11"/>
    </row>
    <row r="17" spans="1:36" ht="21.75" customHeight="1" x14ac:dyDescent="0.25">
      <c r="B17" s="3">
        <f>SUMPRODUCT((Настройки!$E$31:$AH$31=5)*E16:AH16)</f>
        <v>0</v>
      </c>
      <c r="C17" s="5">
        <f>НоябрьИтоги[[#This Row],[№]]*60</f>
        <v>0</v>
      </c>
      <c r="D17" s="7">
        <f>SUM(НоябрьИтоги[[#This Row],[1]:[30]])</f>
        <v>0</v>
      </c>
      <c r="E17" s="6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5">
        <f ca="1">SUM(Ноябрь[УСЛУГ])</f>
        <v>0</v>
      </c>
      <c r="AJ17" s="21">
        <f ca="1">SUM(Ноябрь[МИНУТ])</f>
        <v>0</v>
      </c>
    </row>
    <row r="19" spans="1:36" x14ac:dyDescent="0.25">
      <c r="A19" s="49" t="s">
        <v>52</v>
      </c>
      <c r="B19" s="49" t="s">
        <v>53</v>
      </c>
      <c r="C19" s="50"/>
      <c r="D19" s="51" t="s">
        <v>67</v>
      </c>
      <c r="E19" s="43" t="s">
        <v>55</v>
      </c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45"/>
      <c r="AI19" s="39" t="s">
        <v>70</v>
      </c>
      <c r="AJ19" s="39" t="s">
        <v>70</v>
      </c>
    </row>
    <row r="20" spans="1:36" ht="15.75" customHeight="1" x14ac:dyDescent="0.25">
      <c r="A20" s="49"/>
      <c r="B20" s="49"/>
      <c r="C20" s="50"/>
      <c r="D20" s="52"/>
      <c r="E20" s="53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5"/>
      <c r="AI20" s="39"/>
      <c r="AJ20" s="39"/>
    </row>
    <row r="21" spans="1:36" x14ac:dyDescent="0.25">
      <c r="A21" s="49"/>
      <c r="B21" s="49"/>
      <c r="C21" s="50"/>
      <c r="D21" s="52"/>
      <c r="E21" s="27">
        <f>Настройки!E17</f>
        <v>45231</v>
      </c>
      <c r="F21" s="27">
        <f>Настройки!F17</f>
        <v>45232</v>
      </c>
      <c r="G21" s="27">
        <f>Настройки!G17</f>
        <v>45233</v>
      </c>
      <c r="H21" s="27">
        <f>Настройки!H17</f>
        <v>45234</v>
      </c>
      <c r="I21" s="27">
        <f>Настройки!I17</f>
        <v>45235</v>
      </c>
      <c r="J21" s="27">
        <f>Настройки!J17</f>
        <v>45236</v>
      </c>
      <c r="K21" s="27">
        <f>Настройки!K17</f>
        <v>45237</v>
      </c>
      <c r="L21" s="27">
        <f>Настройки!L17</f>
        <v>45238</v>
      </c>
      <c r="M21" s="27">
        <f>Настройки!M17</f>
        <v>45239</v>
      </c>
      <c r="N21" s="27">
        <f>Настройки!N17</f>
        <v>45240</v>
      </c>
      <c r="O21" s="27">
        <f>Настройки!O17</f>
        <v>45241</v>
      </c>
      <c r="P21" s="27">
        <f>Настройки!P17</f>
        <v>45242</v>
      </c>
      <c r="Q21" s="27">
        <f>Настройки!Q17</f>
        <v>45243</v>
      </c>
      <c r="R21" s="27">
        <f>Настройки!R17</f>
        <v>45244</v>
      </c>
      <c r="S21" s="27">
        <f>Настройки!S17</f>
        <v>45245</v>
      </c>
      <c r="T21" s="27">
        <f>Настройки!T17</f>
        <v>45246</v>
      </c>
      <c r="U21" s="27">
        <f>Настройки!U17</f>
        <v>45247</v>
      </c>
      <c r="V21" s="27">
        <f>Настройки!V17</f>
        <v>45248</v>
      </c>
      <c r="W21" s="27">
        <f>Настройки!W17</f>
        <v>45249</v>
      </c>
      <c r="X21" s="27">
        <f>Настройки!X17</f>
        <v>45250</v>
      </c>
      <c r="Y21" s="27">
        <f>Настройки!Y17</f>
        <v>45251</v>
      </c>
      <c r="Z21" s="27">
        <f>Настройки!Z17</f>
        <v>45252</v>
      </c>
      <c r="AA21" s="27">
        <f>Настройки!AA17</f>
        <v>45253</v>
      </c>
      <c r="AB21" s="27">
        <f>Настройки!AB17</f>
        <v>45254</v>
      </c>
      <c r="AC21" s="27">
        <f>Настройки!AC17</f>
        <v>45255</v>
      </c>
      <c r="AD21" s="27">
        <f>Настройки!AD17</f>
        <v>45256</v>
      </c>
      <c r="AE21" s="27">
        <f>Настройки!AE17</f>
        <v>45257</v>
      </c>
      <c r="AF21" s="27">
        <f>Настройки!AF17</f>
        <v>45258</v>
      </c>
      <c r="AG21" s="27">
        <f>Настройки!AG17</f>
        <v>45259</v>
      </c>
      <c r="AH21" s="27">
        <f>Настройки!AH17</f>
        <v>45260</v>
      </c>
      <c r="AI21" s="39"/>
      <c r="AJ21" s="39"/>
    </row>
    <row r="22" spans="1:36" x14ac:dyDescent="0.25">
      <c r="A22" s="49"/>
      <c r="B22" s="49"/>
      <c r="C22" s="50"/>
      <c r="D22" s="52"/>
      <c r="E22" s="44" t="s">
        <v>54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69"/>
      <c r="AI22" s="39"/>
      <c r="AJ22" s="39"/>
    </row>
    <row r="23" spans="1:36" x14ac:dyDescent="0.25">
      <c r="A23" s="49"/>
      <c r="B23" s="49"/>
      <c r="C23" s="50"/>
      <c r="D23" s="5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71"/>
      <c r="AI23" s="39"/>
      <c r="AJ23" s="39"/>
    </row>
    <row r="24" spans="1:36" ht="23.25" customHeight="1" x14ac:dyDescent="0.25">
      <c r="A24" s="3" t="s">
        <v>65</v>
      </c>
      <c r="B24" s="2" t="s">
        <v>63</v>
      </c>
      <c r="C24" s="3" t="s">
        <v>64</v>
      </c>
      <c r="D24" s="9" t="s">
        <v>66</v>
      </c>
      <c r="E24" s="3" t="s">
        <v>89</v>
      </c>
      <c r="F24" s="3" t="s">
        <v>90</v>
      </c>
      <c r="G24" s="3" t="s">
        <v>91</v>
      </c>
      <c r="H24" s="3" t="s">
        <v>92</v>
      </c>
      <c r="I24" s="3" t="s">
        <v>93</v>
      </c>
      <c r="J24" s="3" t="s">
        <v>94</v>
      </c>
      <c r="K24" s="3" t="s">
        <v>95</v>
      </c>
      <c r="L24" s="3" t="s">
        <v>96</v>
      </c>
      <c r="M24" s="3" t="s">
        <v>97</v>
      </c>
      <c r="N24" s="3" t="s">
        <v>98</v>
      </c>
      <c r="O24" s="3" t="s">
        <v>99</v>
      </c>
      <c r="P24" s="3" t="s">
        <v>100</v>
      </c>
      <c r="Q24" s="3" t="s">
        <v>101</v>
      </c>
      <c r="R24" s="3" t="s">
        <v>102</v>
      </c>
      <c r="S24" s="3" t="s">
        <v>103</v>
      </c>
      <c r="T24" s="3" t="s">
        <v>104</v>
      </c>
      <c r="U24" s="3" t="s">
        <v>105</v>
      </c>
      <c r="V24" s="3" t="s">
        <v>106</v>
      </c>
      <c r="W24" s="3" t="s">
        <v>107</v>
      </c>
      <c r="X24" s="3" t="s">
        <v>108</v>
      </c>
      <c r="Y24" s="3" t="s">
        <v>109</v>
      </c>
      <c r="Z24" s="3" t="s">
        <v>110</v>
      </c>
      <c r="AA24" s="3" t="s">
        <v>111</v>
      </c>
      <c r="AB24" s="3" t="s">
        <v>112</v>
      </c>
      <c r="AC24" s="3" t="s">
        <v>113</v>
      </c>
      <c r="AD24" s="3" t="s">
        <v>114</v>
      </c>
      <c r="AE24" s="3" t="s">
        <v>115</v>
      </c>
      <c r="AF24" s="3" t="s">
        <v>116</v>
      </c>
      <c r="AG24" s="3" t="s">
        <v>117</v>
      </c>
      <c r="AH24" s="3" t="s">
        <v>118</v>
      </c>
      <c r="AI24" s="3" t="s">
        <v>68</v>
      </c>
      <c r="AJ24" s="3" t="s">
        <v>69</v>
      </c>
    </row>
    <row r="25" spans="1:36" ht="31.5" x14ac:dyDescent="0.25">
      <c r="A25" s="16" t="s">
        <v>1</v>
      </c>
      <c r="B25" s="2" t="s">
        <v>56</v>
      </c>
      <c r="C25" s="32">
        <v>60</v>
      </c>
      <c r="D25" s="11">
        <v>1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25" s="5">
        <f ca="1">IF(Ноябрь[[#This Row],[УСЛУГ]]&lt;&gt;"",Ноябрь[[#This Row],[УСЛУГ]]*Ноябрь[[#This Row],[Периодичность]],"")</f>
        <v>0</v>
      </c>
    </row>
    <row r="26" spans="1:36" x14ac:dyDescent="0.25">
      <c r="A26" s="16"/>
      <c r="B26" s="2"/>
      <c r="C26" s="32">
        <v>60</v>
      </c>
      <c r="D26" s="11">
        <v>2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26" s="5" t="str">
        <f ca="1">IF(Ноябрь[[#This Row],[УСЛУГ]]&lt;&gt;"",Ноябрь[[#This Row],[УСЛУГ]]*Ноябрь[[#This Row],[Периодичность]],"")</f>
        <v/>
      </c>
    </row>
    <row r="27" spans="1:36" x14ac:dyDescent="0.25">
      <c r="A27" s="16"/>
      <c r="B27" s="2"/>
      <c r="C27" s="32">
        <v>60</v>
      </c>
      <c r="D27" s="11">
        <v>3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27" s="5" t="str">
        <f ca="1">IF(Ноябрь[[#This Row],[УСЛУГ]]&lt;&gt;"",Ноябрь[[#This Row],[УСЛУГ]]*Ноябрь[[#This Row],[Периодичность]],"")</f>
        <v/>
      </c>
    </row>
    <row r="28" spans="1:36" ht="31.5" x14ac:dyDescent="0.25">
      <c r="A28" s="16" t="s">
        <v>3</v>
      </c>
      <c r="B28" s="2" t="s">
        <v>58</v>
      </c>
      <c r="C28" s="32">
        <v>10</v>
      </c>
      <c r="D28" s="11">
        <v>1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28" s="5">
        <f ca="1">IF(Ноябрь[[#This Row],[УСЛУГ]]&lt;&gt;"",Ноябрь[[#This Row],[УСЛУГ]]*Ноябрь[[#This Row],[Периодичность]],"")</f>
        <v>0</v>
      </c>
    </row>
    <row r="29" spans="1:36" x14ac:dyDescent="0.25">
      <c r="A29" s="16"/>
      <c r="B29" s="2"/>
      <c r="C29" s="32">
        <v>10</v>
      </c>
      <c r="D29" s="11">
        <v>2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29" s="5" t="str">
        <f ca="1">IF(Ноябрь[[#This Row],[УСЛУГ]]&lt;&gt;"",Ноябрь[[#This Row],[УСЛУГ]]*Ноябрь[[#This Row],[Периодичность]],"")</f>
        <v/>
      </c>
    </row>
    <row r="30" spans="1:36" x14ac:dyDescent="0.25">
      <c r="A30" s="16"/>
      <c r="B30" s="2"/>
      <c r="C30" s="32">
        <v>10</v>
      </c>
      <c r="D30" s="11">
        <v>3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30" s="5" t="str">
        <f ca="1">IF(Ноябрь[[#This Row],[УСЛУГ]]&lt;&gt;"",Ноябрь[[#This Row],[УСЛУГ]]*Ноябрь[[#This Row],[Периодичность]],"")</f>
        <v/>
      </c>
    </row>
    <row r="31" spans="1:36" x14ac:dyDescent="0.25">
      <c r="A31" s="16" t="s">
        <v>5</v>
      </c>
      <c r="B31" s="2" t="s">
        <v>58</v>
      </c>
      <c r="C31" s="32">
        <v>30</v>
      </c>
      <c r="D31" s="11">
        <v>1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31" s="5">
        <f ca="1">IF(Ноябрь[[#This Row],[УСЛУГ]]&lt;&gt;"",Ноябрь[[#This Row],[УСЛУГ]]*Ноябрь[[#This Row],[Периодичность]],"")</f>
        <v>0</v>
      </c>
    </row>
    <row r="32" spans="1:36" x14ac:dyDescent="0.25">
      <c r="A32" s="16"/>
      <c r="B32" s="2"/>
      <c r="C32" s="32">
        <v>30</v>
      </c>
      <c r="D32" s="11">
        <v>2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32" s="5" t="str">
        <f ca="1">IF(Ноябрь[[#This Row],[УСЛУГ]]&lt;&gt;"",Ноябрь[[#This Row],[УСЛУГ]]*Ноябрь[[#This Row],[Периодичность]],"")</f>
        <v/>
      </c>
    </row>
    <row r="33" spans="1:36" x14ac:dyDescent="0.25">
      <c r="A33" s="16"/>
      <c r="B33" s="2"/>
      <c r="C33" s="32">
        <v>30</v>
      </c>
      <c r="D33" s="11">
        <v>3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33" s="5" t="str">
        <f ca="1">IF(Ноябрь[[#This Row],[УСЛУГ]]&lt;&gt;"",Ноябрь[[#This Row],[УСЛУГ]]*Ноябрь[[#This Row],[Периодичность]],"")</f>
        <v/>
      </c>
    </row>
    <row r="34" spans="1:36" ht="47.25" x14ac:dyDescent="0.25">
      <c r="A34" s="16" t="s">
        <v>85</v>
      </c>
      <c r="B34" s="2" t="s">
        <v>58</v>
      </c>
      <c r="C34" s="32">
        <v>3</v>
      </c>
      <c r="D34" s="11">
        <v>1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34" s="5">
        <f ca="1">IF(Ноябрь[[#This Row],[УСЛУГ]]&lt;&gt;"",Ноябрь[[#This Row],[УСЛУГ]]*Ноябрь[[#This Row],[Периодичность]],"")</f>
        <v>0</v>
      </c>
    </row>
    <row r="35" spans="1:36" x14ac:dyDescent="0.25">
      <c r="A35" s="16"/>
      <c r="B35" s="2"/>
      <c r="C35" s="32">
        <v>3</v>
      </c>
      <c r="D35" s="11">
        <v>2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35" s="5" t="str">
        <f ca="1">IF(Ноябрь[[#This Row],[УСЛУГ]]&lt;&gt;"",Ноябрь[[#This Row],[УСЛУГ]]*Ноябрь[[#This Row],[Периодичность]],"")</f>
        <v/>
      </c>
    </row>
    <row r="36" spans="1:36" x14ac:dyDescent="0.25">
      <c r="A36" s="16"/>
      <c r="B36" s="2"/>
      <c r="C36" s="32">
        <v>3</v>
      </c>
      <c r="D36" s="11">
        <v>3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36" s="5" t="str">
        <f ca="1">IF(Ноябрь[[#This Row],[УСЛУГ]]&lt;&gt;"",Ноябрь[[#This Row],[УСЛУГ]]*Ноябрь[[#This Row],[Периодичность]],"")</f>
        <v/>
      </c>
    </row>
    <row r="37" spans="1:36" x14ac:dyDescent="0.25">
      <c r="A37" s="16" t="s">
        <v>8</v>
      </c>
      <c r="B37" s="2" t="s">
        <v>59</v>
      </c>
      <c r="C37" s="32">
        <v>15</v>
      </c>
      <c r="D37" s="11">
        <v>1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37" s="5">
        <f ca="1">IF(Ноябрь[[#This Row],[УСЛУГ]]&lt;&gt;"",Ноябрь[[#This Row],[УСЛУГ]]*Ноябрь[[#This Row],[Периодичность]],"")</f>
        <v>0</v>
      </c>
    </row>
    <row r="38" spans="1:36" x14ac:dyDescent="0.25">
      <c r="A38" s="16"/>
      <c r="B38" s="2"/>
      <c r="C38" s="32">
        <v>15</v>
      </c>
      <c r="D38" s="11">
        <v>2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38" s="5" t="str">
        <f ca="1">IF(Ноябрь[[#This Row],[УСЛУГ]]&lt;&gt;"",Ноябрь[[#This Row],[УСЛУГ]]*Ноябрь[[#This Row],[Периодичность]],"")</f>
        <v/>
      </c>
    </row>
    <row r="39" spans="1:36" x14ac:dyDescent="0.25">
      <c r="A39" s="16"/>
      <c r="B39" s="2"/>
      <c r="C39" s="32">
        <v>15</v>
      </c>
      <c r="D39" s="11">
        <v>3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39" s="5" t="str">
        <f ca="1">IF(Ноябрь[[#This Row],[УСЛУГ]]&lt;&gt;"",Ноябрь[[#This Row],[УСЛУГ]]*Ноябрь[[#This Row],[Периодичность]],"")</f>
        <v/>
      </c>
    </row>
    <row r="40" spans="1:36" ht="47.25" x14ac:dyDescent="0.25">
      <c r="A40" s="16" t="s">
        <v>84</v>
      </c>
      <c r="B40" s="2" t="s">
        <v>61</v>
      </c>
      <c r="C40" s="32">
        <v>49</v>
      </c>
      <c r="D40" s="11">
        <v>1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40" s="5">
        <f ca="1">IF(Ноябрь[[#This Row],[УСЛУГ]]&lt;&gt;"",Ноябрь[[#This Row],[УСЛУГ]]*Ноябрь[[#This Row],[Периодичность]],"")</f>
        <v>0</v>
      </c>
    </row>
    <row r="41" spans="1:36" x14ac:dyDescent="0.25">
      <c r="A41" s="16"/>
      <c r="B41" s="2"/>
      <c r="C41" s="32">
        <v>49</v>
      </c>
      <c r="D41" s="11">
        <v>2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41" s="5" t="str">
        <f ca="1">IF(Ноябрь[[#This Row],[УСЛУГ]]&lt;&gt;"",Ноябрь[[#This Row],[УСЛУГ]]*Ноябрь[[#This Row],[Периодичность]],"")</f>
        <v/>
      </c>
    </row>
    <row r="42" spans="1:36" x14ac:dyDescent="0.25">
      <c r="A42" s="16"/>
      <c r="B42" s="2"/>
      <c r="C42" s="32">
        <v>49</v>
      </c>
      <c r="D42" s="11">
        <v>3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42" s="5" t="str">
        <f ca="1">IF(Ноябрь[[#This Row],[УСЛУГ]]&lt;&gt;"",Ноябрь[[#This Row],[УСЛУГ]]*Ноябрь[[#This Row],[Периодичность]],"")</f>
        <v/>
      </c>
    </row>
    <row r="43" spans="1:36" ht="31.5" x14ac:dyDescent="0.25">
      <c r="A43" s="16" t="s">
        <v>13</v>
      </c>
      <c r="B43" s="2" t="s">
        <v>59</v>
      </c>
      <c r="C43" s="32">
        <v>12</v>
      </c>
      <c r="D43" s="11">
        <v>1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43" s="5">
        <f ca="1">IF(Ноябрь[[#This Row],[УСЛУГ]]&lt;&gt;"",Ноябрь[[#This Row],[УСЛУГ]]*Ноябрь[[#This Row],[Периодичность]],"")</f>
        <v>0</v>
      </c>
    </row>
    <row r="44" spans="1:36" x14ac:dyDescent="0.25">
      <c r="A44" s="16"/>
      <c r="B44" s="2"/>
      <c r="C44" s="32">
        <v>12</v>
      </c>
      <c r="D44" s="11">
        <v>2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44" s="5" t="str">
        <f ca="1">IF(Ноябрь[[#This Row],[УСЛУГ]]&lt;&gt;"",Ноябрь[[#This Row],[УСЛУГ]]*Ноябрь[[#This Row],[Периодичность]],"")</f>
        <v/>
      </c>
    </row>
    <row r="45" spans="1:36" x14ac:dyDescent="0.25">
      <c r="A45" s="16"/>
      <c r="B45" s="2"/>
      <c r="C45" s="32">
        <v>12</v>
      </c>
      <c r="D45" s="11">
        <v>3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45" s="5" t="str">
        <f ca="1">IF(Ноябрь[[#This Row],[УСЛУГ]]&lt;&gt;"",Ноябрь[[#This Row],[УСЛУГ]]*Ноябрь[[#This Row],[Периодичность]],"")</f>
        <v/>
      </c>
    </row>
    <row r="46" spans="1:36" x14ac:dyDescent="0.25">
      <c r="A46" s="16" t="s">
        <v>16</v>
      </c>
      <c r="B46" s="2" t="s">
        <v>59</v>
      </c>
      <c r="C46" s="32">
        <v>15</v>
      </c>
      <c r="D46" s="11">
        <v>1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46" s="5">
        <f ca="1">IF(Ноябрь[[#This Row],[УСЛУГ]]&lt;&gt;"",Ноябрь[[#This Row],[УСЛУГ]]*Ноябрь[[#This Row],[Периодичность]],"")</f>
        <v>0</v>
      </c>
    </row>
    <row r="47" spans="1:36" x14ac:dyDescent="0.25">
      <c r="A47" s="16"/>
      <c r="B47" s="2"/>
      <c r="C47" s="32">
        <v>15</v>
      </c>
      <c r="D47" s="11">
        <v>2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47" s="5" t="str">
        <f ca="1">IF(Ноябрь[[#This Row],[УСЛУГ]]&lt;&gt;"",Ноябрь[[#This Row],[УСЛУГ]]*Ноябрь[[#This Row],[Периодичность]],"")</f>
        <v/>
      </c>
    </row>
    <row r="48" spans="1:36" x14ac:dyDescent="0.25">
      <c r="A48" s="16"/>
      <c r="B48" s="2"/>
      <c r="C48" s="32">
        <v>15</v>
      </c>
      <c r="D48" s="11">
        <v>3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48" s="5" t="str">
        <f ca="1">IF(Ноябрь[[#This Row],[УСЛУГ]]&lt;&gt;"",Ноябрь[[#This Row],[УСЛУГ]]*Ноябрь[[#This Row],[Периодичность]],"")</f>
        <v/>
      </c>
    </row>
    <row r="49" spans="1:36" ht="31.5" x14ac:dyDescent="0.25">
      <c r="A49" s="16" t="s">
        <v>25</v>
      </c>
      <c r="B49" s="2" t="s">
        <v>59</v>
      </c>
      <c r="C49" s="32">
        <v>10</v>
      </c>
      <c r="D49" s="11">
        <v>1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49" s="5">
        <f ca="1">IF(Ноябрь[[#This Row],[УСЛУГ]]&lt;&gt;"",Ноябрь[[#This Row],[УСЛУГ]]*Ноябрь[[#This Row],[Периодичность]],"")</f>
        <v>0</v>
      </c>
    </row>
    <row r="50" spans="1:36" x14ac:dyDescent="0.25">
      <c r="A50" s="16"/>
      <c r="B50" s="2"/>
      <c r="C50" s="32">
        <v>10</v>
      </c>
      <c r="D50" s="11">
        <v>2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50" s="5" t="str">
        <f ca="1">IF(Ноябрь[[#This Row],[УСЛУГ]]&lt;&gt;"",Ноябрь[[#This Row],[УСЛУГ]]*Ноябрь[[#This Row],[Периодичность]],"")</f>
        <v/>
      </c>
    </row>
    <row r="51" spans="1:36" x14ac:dyDescent="0.25">
      <c r="A51" s="16"/>
      <c r="B51" s="2"/>
      <c r="C51" s="32">
        <v>10</v>
      </c>
      <c r="D51" s="11">
        <v>3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51" s="5" t="str">
        <f ca="1">IF(Ноябрь[[#This Row],[УСЛУГ]]&lt;&gt;"",Ноябрь[[#This Row],[УСЛУГ]]*Ноябрь[[#This Row],[Периодичность]],"")</f>
        <v/>
      </c>
    </row>
    <row r="52" spans="1:36" ht="31.5" x14ac:dyDescent="0.25">
      <c r="A52" s="16" t="s">
        <v>27</v>
      </c>
      <c r="B52" s="2" t="s">
        <v>59</v>
      </c>
      <c r="C52" s="32">
        <v>15</v>
      </c>
      <c r="D52" s="11">
        <v>1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52" s="5">
        <f ca="1">IF(Ноябрь[[#This Row],[УСЛУГ]]&lt;&gt;"",Ноябрь[[#This Row],[УСЛУГ]]*Ноябрь[[#This Row],[Периодичность]],"")</f>
        <v>0</v>
      </c>
    </row>
    <row r="53" spans="1:36" x14ac:dyDescent="0.25">
      <c r="A53" s="16"/>
      <c r="B53" s="2"/>
      <c r="C53" s="32">
        <v>15</v>
      </c>
      <c r="D53" s="11">
        <v>2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53" s="5" t="str">
        <f ca="1">IF(Ноябрь[[#This Row],[УСЛУГ]]&lt;&gt;"",Ноябрь[[#This Row],[УСЛУГ]]*Ноябрь[[#This Row],[Периодичность]],"")</f>
        <v/>
      </c>
    </row>
    <row r="54" spans="1:36" x14ac:dyDescent="0.25">
      <c r="A54" s="16"/>
      <c r="B54" s="2"/>
      <c r="C54" s="32">
        <v>15</v>
      </c>
      <c r="D54" s="11">
        <v>3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54" s="5" t="str">
        <f ca="1">IF(Ноябрь[[#This Row],[УСЛУГ]]&lt;&gt;"",Ноябрь[[#This Row],[УСЛУГ]]*Ноябрь[[#This Row],[Периодичность]],"")</f>
        <v/>
      </c>
    </row>
    <row r="55" spans="1:36" ht="31.5" x14ac:dyDescent="0.25">
      <c r="A55" s="16" t="s">
        <v>29</v>
      </c>
      <c r="B55" s="2" t="s">
        <v>61</v>
      </c>
      <c r="C55" s="32">
        <v>15</v>
      </c>
      <c r="D55" s="11">
        <v>1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55" s="5">
        <f ca="1">IF(Ноябрь[[#This Row],[УСЛУГ]]&lt;&gt;"",Ноябрь[[#This Row],[УСЛУГ]]*Ноябрь[[#This Row],[Периодичность]],"")</f>
        <v>0</v>
      </c>
    </row>
    <row r="56" spans="1:36" x14ac:dyDescent="0.25">
      <c r="A56" s="16"/>
      <c r="B56" s="2"/>
      <c r="C56" s="32">
        <v>15</v>
      </c>
      <c r="D56" s="11">
        <v>2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56" s="5" t="str">
        <f ca="1">IF(Ноябрь[[#This Row],[УСЛУГ]]&lt;&gt;"",Ноябрь[[#This Row],[УСЛУГ]]*Ноябрь[[#This Row],[Периодичность]],"")</f>
        <v/>
      </c>
    </row>
    <row r="57" spans="1:36" x14ac:dyDescent="0.25">
      <c r="A57" s="16"/>
      <c r="B57" s="2"/>
      <c r="C57" s="32">
        <v>15</v>
      </c>
      <c r="D57" s="11">
        <v>3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57" s="5" t="str">
        <f ca="1">IF(Ноябрь[[#This Row],[УСЛУГ]]&lt;&gt;"",Ноябрь[[#This Row],[УСЛУГ]]*Ноябрь[[#This Row],[Периодичность]],"")</f>
        <v/>
      </c>
    </row>
    <row r="58" spans="1:36" ht="47.25" x14ac:dyDescent="0.25">
      <c r="A58" s="16" t="s">
        <v>83</v>
      </c>
      <c r="B58" s="2" t="s">
        <v>58</v>
      </c>
      <c r="C58" s="32">
        <v>10</v>
      </c>
      <c r="D58" s="11">
        <v>1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58" s="5">
        <f ca="1">IF(Ноябрь[[#This Row],[УСЛУГ]]&lt;&gt;"",Ноябрь[[#This Row],[УСЛУГ]]*Ноябрь[[#This Row],[Периодичность]],"")</f>
        <v>0</v>
      </c>
    </row>
    <row r="59" spans="1:36" x14ac:dyDescent="0.25">
      <c r="A59" s="16"/>
      <c r="B59" s="2"/>
      <c r="C59" s="32">
        <v>10</v>
      </c>
      <c r="D59" s="11">
        <v>2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59" s="5" t="str">
        <f ca="1">IF(Ноябрь[[#This Row],[УСЛУГ]]&lt;&gt;"",Ноябрь[[#This Row],[УСЛУГ]]*Ноябрь[[#This Row],[Периодичность]],"")</f>
        <v/>
      </c>
    </row>
    <row r="60" spans="1:36" x14ac:dyDescent="0.25">
      <c r="A60" s="16"/>
      <c r="B60" s="2"/>
      <c r="C60" s="32">
        <v>10</v>
      </c>
      <c r="D60" s="11">
        <v>3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60" s="5" t="str">
        <f ca="1">IF(Ноябрь[[#This Row],[УСЛУГ]]&lt;&gt;"",Ноябрь[[#This Row],[УСЛУГ]]*Ноябрь[[#This Row],[Периодичность]],"")</f>
        <v/>
      </c>
    </row>
    <row r="61" spans="1:36" ht="47.25" x14ac:dyDescent="0.25">
      <c r="A61" s="16" t="s">
        <v>82</v>
      </c>
      <c r="B61" s="2" t="s">
        <v>59</v>
      </c>
      <c r="C61" s="32">
        <v>10</v>
      </c>
      <c r="D61" s="11">
        <v>1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61" s="5">
        <f ca="1">IF(Ноябрь[[#This Row],[УСЛУГ]]&lt;&gt;"",Ноябрь[[#This Row],[УСЛУГ]]*Ноябрь[[#This Row],[Периодичность]],"")</f>
        <v>0</v>
      </c>
    </row>
    <row r="62" spans="1:36" x14ac:dyDescent="0.25">
      <c r="A62" s="16"/>
      <c r="B62" s="2"/>
      <c r="C62" s="32">
        <v>10</v>
      </c>
      <c r="D62" s="11">
        <v>2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62" s="5" t="str">
        <f ca="1">IF(Ноябрь[[#This Row],[УСЛУГ]]&lt;&gt;"",Ноябрь[[#This Row],[УСЛУГ]]*Ноябрь[[#This Row],[Периодичность]],"")</f>
        <v/>
      </c>
    </row>
    <row r="63" spans="1:36" x14ac:dyDescent="0.25">
      <c r="A63" s="16"/>
      <c r="B63" s="2"/>
      <c r="C63" s="32">
        <v>10</v>
      </c>
      <c r="D63" s="11">
        <v>3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63" s="5" t="str">
        <f ca="1">IF(Ноябрь[[#This Row],[УСЛУГ]]&lt;&gt;"",Ноябрь[[#This Row],[УСЛУГ]]*Ноябрь[[#This Row],[Периодичность]],"")</f>
        <v/>
      </c>
    </row>
    <row r="64" spans="1:36" ht="31.5" x14ac:dyDescent="0.25">
      <c r="A64" s="16" t="s">
        <v>37</v>
      </c>
      <c r="B64" s="2" t="s">
        <v>60</v>
      </c>
      <c r="C64" s="32">
        <v>5</v>
      </c>
      <c r="D64" s="11">
        <v>1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64" s="5">
        <f ca="1">IF(Ноябрь[[#This Row],[УСЛУГ]]&lt;&gt;"",Ноябрь[[#This Row],[УСЛУГ]]*Ноябрь[[#This Row],[Периодичность]],"")</f>
        <v>0</v>
      </c>
    </row>
    <row r="65" spans="1:36" x14ac:dyDescent="0.25">
      <c r="A65" s="16"/>
      <c r="B65" s="2"/>
      <c r="C65" s="32">
        <v>5</v>
      </c>
      <c r="D65" s="11">
        <v>2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65" s="5" t="str">
        <f ca="1">IF(Ноябрь[[#This Row],[УСЛУГ]]&lt;&gt;"",Ноябрь[[#This Row],[УСЛУГ]]*Ноябрь[[#This Row],[Периодичность]],"")</f>
        <v/>
      </c>
    </row>
    <row r="66" spans="1:36" x14ac:dyDescent="0.25">
      <c r="A66" s="16"/>
      <c r="B66" s="2"/>
      <c r="C66" s="32">
        <v>5</v>
      </c>
      <c r="D66" s="11">
        <v>3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66" s="5" t="str">
        <f ca="1">IF(Ноябрь[[#This Row],[УСЛУГ]]&lt;&gt;"",Ноябрь[[#This Row],[УСЛУГ]]*Ноябрь[[#This Row],[Периодичность]],"")</f>
        <v/>
      </c>
    </row>
    <row r="67" spans="1:36" x14ac:dyDescent="0.25">
      <c r="A67" s="16" t="s">
        <v>38</v>
      </c>
      <c r="B67" s="2" t="s">
        <v>59</v>
      </c>
      <c r="C67" s="32">
        <v>7</v>
      </c>
      <c r="D67" s="11">
        <v>1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67" s="5">
        <f ca="1">IF(Ноябрь[[#This Row],[УСЛУГ]]&lt;&gt;"",Ноябрь[[#This Row],[УСЛУГ]]*Ноябрь[[#This Row],[Периодичность]],"")</f>
        <v>0</v>
      </c>
    </row>
    <row r="68" spans="1:36" x14ac:dyDescent="0.25">
      <c r="A68" s="16"/>
      <c r="B68" s="2"/>
      <c r="C68" s="32">
        <v>7</v>
      </c>
      <c r="D68" s="11">
        <v>2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68" s="5" t="str">
        <f ca="1">IF(Ноябрь[[#This Row],[УСЛУГ]]&lt;&gt;"",Ноябрь[[#This Row],[УСЛУГ]]*Ноябрь[[#This Row],[Периодичность]],"")</f>
        <v/>
      </c>
    </row>
    <row r="69" spans="1:36" x14ac:dyDescent="0.25">
      <c r="A69" s="16"/>
      <c r="B69" s="2"/>
      <c r="C69" s="32">
        <v>7</v>
      </c>
      <c r="D69" s="11">
        <v>3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69" s="5" t="str">
        <f ca="1">IF(Ноябрь[[#This Row],[УСЛУГ]]&lt;&gt;"",Ноябрь[[#This Row],[УСЛУГ]]*Ноябрь[[#This Row],[Периодичность]],"")</f>
        <v/>
      </c>
    </row>
    <row r="70" spans="1:36" ht="47.25" x14ac:dyDescent="0.25">
      <c r="A70" s="16" t="s">
        <v>81</v>
      </c>
      <c r="B70" s="2" t="s">
        <v>59</v>
      </c>
      <c r="C70" s="32">
        <v>5</v>
      </c>
      <c r="D70" s="11">
        <v>1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70" s="5">
        <f ca="1">IF(Ноябрь[[#This Row],[УСЛУГ]]&lt;&gt;"",Ноябрь[[#This Row],[УСЛУГ]]*Ноябрь[[#This Row],[Периодичность]],"")</f>
        <v>0</v>
      </c>
    </row>
    <row r="71" spans="1:36" x14ac:dyDescent="0.25">
      <c r="A71" s="16"/>
      <c r="B71" s="2"/>
      <c r="C71" s="32">
        <v>5</v>
      </c>
      <c r="D71" s="11">
        <v>2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71" s="5" t="str">
        <f ca="1">IF(Ноябрь[[#This Row],[УСЛУГ]]&lt;&gt;"",Ноябрь[[#This Row],[УСЛУГ]]*Ноябрь[[#This Row],[Периодичность]],"")</f>
        <v/>
      </c>
    </row>
    <row r="72" spans="1:36" x14ac:dyDescent="0.25">
      <c r="A72" s="16"/>
      <c r="B72" s="2"/>
      <c r="C72" s="32">
        <v>5</v>
      </c>
      <c r="D72" s="11">
        <v>3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72" s="5" t="str">
        <f ca="1">IF(Ноябрь[[#This Row],[УСЛУГ]]&lt;&gt;"",Ноябрь[[#This Row],[УСЛУГ]]*Ноябрь[[#This Row],[Периодичность]],"")</f>
        <v/>
      </c>
    </row>
    <row r="73" spans="1:36" ht="47.25" x14ac:dyDescent="0.25">
      <c r="A73" s="16" t="s">
        <v>80</v>
      </c>
      <c r="B73" s="2" t="s">
        <v>59</v>
      </c>
      <c r="C73" s="32">
        <v>5</v>
      </c>
      <c r="D73" s="11">
        <v>1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73" s="5">
        <f ca="1">IF(Ноябрь[[#This Row],[УСЛУГ]]&lt;&gt;"",Ноябрь[[#This Row],[УСЛУГ]]*Ноябрь[[#This Row],[Периодичность]],"")</f>
        <v>0</v>
      </c>
    </row>
    <row r="74" spans="1:36" x14ac:dyDescent="0.25">
      <c r="A74" s="16"/>
      <c r="B74" s="2"/>
      <c r="C74" s="32">
        <v>5</v>
      </c>
      <c r="D74" s="11">
        <v>2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74" s="5" t="str">
        <f ca="1">IF(Ноябрь[[#This Row],[УСЛУГ]]&lt;&gt;"",Ноябрь[[#This Row],[УСЛУГ]]*Ноябрь[[#This Row],[Периодичность]],"")</f>
        <v/>
      </c>
    </row>
    <row r="75" spans="1:36" x14ac:dyDescent="0.25">
      <c r="A75" s="16"/>
      <c r="B75" s="2"/>
      <c r="C75" s="32">
        <v>5</v>
      </c>
      <c r="D75" s="11">
        <v>3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75" s="5" t="str">
        <f ca="1">IF(Ноябрь[[#This Row],[УСЛУГ]]&lt;&gt;"",Ноябрь[[#This Row],[УСЛУГ]]*Ноябрь[[#This Row],[Периодичность]],"")</f>
        <v/>
      </c>
    </row>
    <row r="76" spans="1:36" ht="47.25" x14ac:dyDescent="0.25">
      <c r="A76" s="16" t="s">
        <v>79</v>
      </c>
      <c r="B76" s="2" t="s">
        <v>57</v>
      </c>
      <c r="C76" s="32">
        <v>45</v>
      </c>
      <c r="D76" s="11">
        <v>1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76" s="5">
        <f ca="1">IF(Ноябрь[[#This Row],[УСЛУГ]]&lt;&gt;"",Ноябрь[[#This Row],[УСЛУГ]]*Ноябрь[[#This Row],[Периодичность]],"")</f>
        <v>0</v>
      </c>
    </row>
    <row r="77" spans="1:36" x14ac:dyDescent="0.25">
      <c r="A77" s="16"/>
      <c r="B77" s="2"/>
      <c r="C77" s="32">
        <v>45</v>
      </c>
      <c r="D77" s="11">
        <v>2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77" s="5" t="str">
        <f ca="1">IF(Ноябрь[[#This Row],[УСЛУГ]]&lt;&gt;"",Ноябрь[[#This Row],[УСЛУГ]]*Ноябрь[[#This Row],[Периодичность]],"")</f>
        <v/>
      </c>
    </row>
    <row r="78" spans="1:36" x14ac:dyDescent="0.25">
      <c r="A78" s="16"/>
      <c r="B78" s="2"/>
      <c r="C78" s="32">
        <v>45</v>
      </c>
      <c r="D78" s="11">
        <v>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78" s="5" t="str">
        <f ca="1">IF(Ноябрь[[#This Row],[УСЛУГ]]&lt;&gt;"",Ноябрь[[#This Row],[УСЛУГ]]*Ноябрь[[#This Row],[Периодичность]],"")</f>
        <v/>
      </c>
    </row>
    <row r="79" spans="1:36" ht="47.25" x14ac:dyDescent="0.25">
      <c r="A79" s="16" t="s">
        <v>78</v>
      </c>
      <c r="B79" s="2" t="s">
        <v>59</v>
      </c>
      <c r="C79" s="32">
        <v>10</v>
      </c>
      <c r="D79" s="11">
        <v>1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79" s="5">
        <f ca="1">IF(Ноябрь[[#This Row],[УСЛУГ]]&lt;&gt;"",Ноябрь[[#This Row],[УСЛУГ]]*Ноябрь[[#This Row],[Периодичность]],"")</f>
        <v>0</v>
      </c>
    </row>
    <row r="80" spans="1:36" x14ac:dyDescent="0.25">
      <c r="A80" s="16"/>
      <c r="B80" s="2"/>
      <c r="C80" s="32">
        <v>10</v>
      </c>
      <c r="D80" s="11">
        <v>2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80" s="5" t="str">
        <f ca="1">IF(Ноябрь[[#This Row],[УСЛУГ]]&lt;&gt;"",Ноябрь[[#This Row],[УСЛУГ]]*Ноябрь[[#This Row],[Периодичность]],"")</f>
        <v/>
      </c>
    </row>
    <row r="81" spans="1:36" x14ac:dyDescent="0.25">
      <c r="A81" s="16"/>
      <c r="B81" s="2"/>
      <c r="C81" s="32">
        <v>10</v>
      </c>
      <c r="D81" s="11">
        <v>3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81" s="5" t="str">
        <f ca="1">IF(Ноябрь[[#This Row],[УСЛУГ]]&lt;&gt;"",Ноябрь[[#This Row],[УСЛУГ]]*Ноябрь[[#This Row],[Периодичность]],"")</f>
        <v/>
      </c>
    </row>
    <row r="84" spans="1:36" x14ac:dyDescent="0.25">
      <c r="A84" s="34"/>
      <c r="B84" s="34"/>
      <c r="C84" s="34"/>
    </row>
    <row r="85" spans="1:36" x14ac:dyDescent="0.25">
      <c r="A85" s="35"/>
      <c r="B85" s="36"/>
      <c r="C85" s="36"/>
    </row>
    <row r="86" spans="1:36" x14ac:dyDescent="0.25">
      <c r="A86" s="35"/>
      <c r="B86" s="36"/>
      <c r="C86" s="36"/>
    </row>
    <row r="87" spans="1:36" x14ac:dyDescent="0.25">
      <c r="A87" s="35"/>
      <c r="B87" s="36"/>
      <c r="C87" s="36"/>
    </row>
    <row r="88" spans="1:36" x14ac:dyDescent="0.25">
      <c r="A88" s="35"/>
      <c r="B88" s="36"/>
      <c r="C88" s="36"/>
    </row>
    <row r="89" spans="1:36" x14ac:dyDescent="0.25">
      <c r="A89" s="35"/>
      <c r="B89" s="36"/>
      <c r="C89" s="36"/>
    </row>
    <row r="90" spans="1:36" x14ac:dyDescent="0.25">
      <c r="A90" s="35"/>
      <c r="B90" s="36"/>
      <c r="C90" s="36"/>
    </row>
    <row r="91" spans="1:36" x14ac:dyDescent="0.25">
      <c r="A91" s="35"/>
      <c r="B91" s="36"/>
      <c r="C91" s="36"/>
    </row>
    <row r="92" spans="1:36" x14ac:dyDescent="0.25">
      <c r="A92" s="35"/>
      <c r="B92" s="36"/>
      <c r="C92" s="36"/>
    </row>
    <row r="93" spans="1:36" x14ac:dyDescent="0.25">
      <c r="A93" s="35"/>
      <c r="B93" s="36"/>
      <c r="C93" s="36"/>
    </row>
    <row r="94" spans="1:36" x14ac:dyDescent="0.25">
      <c r="A94" s="35"/>
      <c r="B94" s="36"/>
      <c r="C94" s="36"/>
    </row>
    <row r="95" spans="1:36" x14ac:dyDescent="0.25">
      <c r="A95" s="35"/>
      <c r="B95" s="36"/>
      <c r="C95" s="36"/>
    </row>
    <row r="96" spans="1:36" x14ac:dyDescent="0.25">
      <c r="A96" s="35"/>
      <c r="B96" s="36"/>
      <c r="C96" s="36"/>
    </row>
    <row r="97" spans="1:3" x14ac:dyDescent="0.25">
      <c r="A97" s="35"/>
      <c r="B97" s="36"/>
      <c r="C97" s="36"/>
    </row>
    <row r="98" spans="1:3" x14ac:dyDescent="0.25">
      <c r="A98" s="35"/>
      <c r="B98" s="36"/>
      <c r="C98" s="36"/>
    </row>
    <row r="99" spans="1:3" x14ac:dyDescent="0.25">
      <c r="A99" s="35"/>
      <c r="B99" s="36"/>
      <c r="C99" s="36"/>
    </row>
    <row r="100" spans="1:3" x14ac:dyDescent="0.25">
      <c r="A100" s="35"/>
      <c r="B100" s="36"/>
      <c r="C100" s="36"/>
    </row>
    <row r="101" spans="1:3" x14ac:dyDescent="0.25">
      <c r="A101" s="35"/>
      <c r="B101" s="36"/>
      <c r="C101" s="36"/>
    </row>
    <row r="102" spans="1:3" x14ac:dyDescent="0.25">
      <c r="A102" s="35"/>
      <c r="B102" s="36"/>
      <c r="C102" s="36"/>
    </row>
    <row r="103" spans="1:3" x14ac:dyDescent="0.25">
      <c r="A103" s="35"/>
      <c r="B103" s="36"/>
      <c r="C103" s="36"/>
    </row>
    <row r="104" spans="1:3" x14ac:dyDescent="0.25">
      <c r="A104" s="35"/>
      <c r="B104" s="36"/>
      <c r="C104" s="36"/>
    </row>
    <row r="105" spans="1:3" x14ac:dyDescent="0.25">
      <c r="A105" s="34"/>
      <c r="B105" s="34"/>
      <c r="C105" s="34"/>
    </row>
  </sheetData>
  <mergeCells count="20">
    <mergeCell ref="AI7:AI11"/>
    <mergeCell ref="AJ7:AJ11"/>
    <mergeCell ref="E10:AH11"/>
    <mergeCell ref="A19:A23"/>
    <mergeCell ref="B19:C23"/>
    <mergeCell ref="D19:D23"/>
    <mergeCell ref="E19:AH20"/>
    <mergeCell ref="AI19:AI23"/>
    <mergeCell ref="AJ19:AJ23"/>
    <mergeCell ref="E22:AH23"/>
    <mergeCell ref="A7:A11"/>
    <mergeCell ref="B7:B11"/>
    <mergeCell ref="C7:C11"/>
    <mergeCell ref="D7:D11"/>
    <mergeCell ref="E7:AH8"/>
    <mergeCell ref="A2:AJ2"/>
    <mergeCell ref="A3:AJ3"/>
    <mergeCell ref="J4:L4"/>
    <mergeCell ref="M4:U4"/>
    <mergeCell ref="M5:Q5"/>
  </mergeCells>
  <conditionalFormatting sqref="E9:AH9">
    <cfRule type="expression" dxfId="195" priority="2">
      <formula>WEEKDAY(E9:AH9,2)&gt;5</formula>
    </cfRule>
  </conditionalFormatting>
  <conditionalFormatting sqref="E21:AH21">
    <cfRule type="expression" dxfId="194" priority="1">
      <formula>WEEKDAY(E21:AH21,2)&gt;5</formula>
    </cfRule>
  </conditionalFormatting>
  <dataValidations count="2">
    <dataValidation type="list" allowBlank="1" showInputMessage="1" showErrorMessage="1" sqref="A25:A81">
      <formula1>INDIRECT("Услуги[Кратко]")</formula1>
    </dataValidation>
    <dataValidation type="list" allowBlank="1" showInputMessage="1" showErrorMessage="1" sqref="D25:D81">
      <formula1>INDIRECT("Посещения")</formula1>
    </dataValidation>
  </dataValidations>
  <pageMargins left="0.25" right="0.25" top="0.75" bottom="0.75" header="0.3" footer="0.3"/>
  <pageSetup paperSize="9" scale="45" fitToHeight="0" orientation="landscape" horizontalDpi="300" verticalDpi="300" r:id="rId1"/>
  <ignoredErrors>
    <ignoredError sqref="E13:E17 C25:C81 AI17:AJ17 B13:B17" calculatedColumn="1"/>
  </ignoredErrors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81"/>
  <sheetViews>
    <sheetView zoomScale="80" zoomScaleNormal="80" workbookViewId="0">
      <selection activeCell="B5" sqref="B5"/>
    </sheetView>
  </sheetViews>
  <sheetFormatPr defaultRowHeight="15.75" x14ac:dyDescent="0.25"/>
  <cols>
    <col min="1" max="1" width="21.42578125" style="3" customWidth="1"/>
    <col min="2" max="2" width="14.28515625" style="3" customWidth="1"/>
    <col min="3" max="3" width="17.7109375" style="3" customWidth="1"/>
    <col min="4" max="4" width="9.28515625" style="3" customWidth="1"/>
    <col min="5" max="5" width="6.85546875" style="3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8" ht="18.75" x14ac:dyDescent="0.25">
      <c r="A2" s="60" t="s">
        <v>72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</row>
    <row r="3" spans="1:38" ht="18.75" x14ac:dyDescent="0.25">
      <c r="A3" s="60" t="s">
        <v>73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</row>
    <row r="4" spans="1:38" ht="18.75" x14ac:dyDescent="0.25">
      <c r="I4" s="13"/>
      <c r="J4" s="61" t="s">
        <v>74</v>
      </c>
      <c r="K4" s="61"/>
      <c r="L4" s="61"/>
      <c r="M4" s="62"/>
      <c r="N4" s="54"/>
      <c r="O4" s="54"/>
      <c r="P4" s="54"/>
      <c r="Q4" s="54"/>
      <c r="R4" s="54"/>
      <c r="S4" s="54"/>
      <c r="T4" s="54"/>
      <c r="U4" s="54"/>
    </row>
    <row r="5" spans="1:38" ht="18.75" x14ac:dyDescent="0.25">
      <c r="L5" s="12" t="s">
        <v>75</v>
      </c>
      <c r="M5" s="63" t="s">
        <v>145</v>
      </c>
      <c r="N5" s="64"/>
      <c r="O5" s="64"/>
      <c r="P5" s="64"/>
      <c r="Q5" s="64"/>
      <c r="R5" s="37">
        <f>Год[Год]</f>
        <v>2023</v>
      </c>
      <c r="S5" s="38" t="s">
        <v>138</v>
      </c>
      <c r="T5" s="14"/>
      <c r="U5" s="14"/>
    </row>
    <row r="6" spans="1:38" ht="17.25" customHeight="1" x14ac:dyDescent="0.25"/>
    <row r="7" spans="1:38" ht="26.25" customHeight="1" x14ac:dyDescent="0.25">
      <c r="A7" s="49"/>
      <c r="B7" s="57" t="s">
        <v>121</v>
      </c>
      <c r="C7" s="57" t="s">
        <v>120</v>
      </c>
      <c r="D7" s="58" t="s">
        <v>67</v>
      </c>
      <c r="E7" s="43" t="s">
        <v>55</v>
      </c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5"/>
      <c r="AJ7" s="39" t="s">
        <v>70</v>
      </c>
      <c r="AK7" s="40" t="s">
        <v>70</v>
      </c>
    </row>
    <row r="8" spans="1:38" x14ac:dyDescent="0.25">
      <c r="A8" s="49"/>
      <c r="B8" s="52"/>
      <c r="C8" s="52"/>
      <c r="D8" s="59"/>
      <c r="E8" s="53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5"/>
      <c r="AJ8" s="39"/>
      <c r="AK8" s="41"/>
    </row>
    <row r="9" spans="1:38" x14ac:dyDescent="0.25">
      <c r="A9" s="49"/>
      <c r="B9" s="52"/>
      <c r="C9" s="52"/>
      <c r="D9" s="59"/>
      <c r="E9" s="23">
        <f>Настройки!E18</f>
        <v>45261</v>
      </c>
      <c r="F9" s="23">
        <f>Настройки!F18</f>
        <v>45262</v>
      </c>
      <c r="G9" s="23">
        <f>Настройки!G18</f>
        <v>45263</v>
      </c>
      <c r="H9" s="23">
        <f>Настройки!H18</f>
        <v>45264</v>
      </c>
      <c r="I9" s="23">
        <f>Настройки!I18</f>
        <v>45265</v>
      </c>
      <c r="J9" s="23">
        <f>Настройки!J18</f>
        <v>45266</v>
      </c>
      <c r="K9" s="23">
        <f>Настройки!K18</f>
        <v>45267</v>
      </c>
      <c r="L9" s="23">
        <f>Настройки!L18</f>
        <v>45268</v>
      </c>
      <c r="M9" s="23">
        <f>Настройки!M18</f>
        <v>45269</v>
      </c>
      <c r="N9" s="23">
        <f>Настройки!N18</f>
        <v>45270</v>
      </c>
      <c r="O9" s="23">
        <f>Настройки!O18</f>
        <v>45271</v>
      </c>
      <c r="P9" s="23">
        <f>Настройки!P18</f>
        <v>45272</v>
      </c>
      <c r="Q9" s="23">
        <f>Настройки!Q18</f>
        <v>45273</v>
      </c>
      <c r="R9" s="23">
        <f>Настройки!R18</f>
        <v>45274</v>
      </c>
      <c r="S9" s="23">
        <f>Настройки!S18</f>
        <v>45275</v>
      </c>
      <c r="T9" s="23">
        <f>Настройки!T18</f>
        <v>45276</v>
      </c>
      <c r="U9" s="23">
        <f>Настройки!U18</f>
        <v>45277</v>
      </c>
      <c r="V9" s="23">
        <f>Настройки!V18</f>
        <v>45278</v>
      </c>
      <c r="W9" s="23">
        <f>Настройки!W18</f>
        <v>45279</v>
      </c>
      <c r="X9" s="23">
        <f>Настройки!X18</f>
        <v>45280</v>
      </c>
      <c r="Y9" s="23">
        <f>Настройки!Y18</f>
        <v>45281</v>
      </c>
      <c r="Z9" s="23">
        <f>Настройки!Z18</f>
        <v>45282</v>
      </c>
      <c r="AA9" s="23">
        <f>Настройки!AA18</f>
        <v>45283</v>
      </c>
      <c r="AB9" s="23">
        <f>Настройки!AB18</f>
        <v>45284</v>
      </c>
      <c r="AC9" s="23">
        <f>Настройки!AC18</f>
        <v>45285</v>
      </c>
      <c r="AD9" s="23">
        <f>Настройки!AD18</f>
        <v>45286</v>
      </c>
      <c r="AE9" s="23">
        <f>Настройки!AE18</f>
        <v>45287</v>
      </c>
      <c r="AF9" s="23">
        <f>Настройки!AF18</f>
        <v>45288</v>
      </c>
      <c r="AG9" s="23">
        <f>Настройки!AG18</f>
        <v>45289</v>
      </c>
      <c r="AH9" s="23">
        <f>Настройки!AH18</f>
        <v>45290</v>
      </c>
      <c r="AI9" s="23">
        <f>Настройки!AI18</f>
        <v>45291</v>
      </c>
      <c r="AJ9" s="39"/>
      <c r="AK9" s="41"/>
    </row>
    <row r="10" spans="1:38" x14ac:dyDescent="0.25">
      <c r="A10" s="49"/>
      <c r="B10" s="52"/>
      <c r="C10" s="52"/>
      <c r="D10" s="59"/>
      <c r="E10" s="43" t="s">
        <v>54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5"/>
      <c r="AJ10" s="39"/>
      <c r="AK10" s="41"/>
    </row>
    <row r="11" spans="1:38" x14ac:dyDescent="0.25">
      <c r="A11" s="57"/>
      <c r="B11" s="52"/>
      <c r="C11" s="52"/>
      <c r="D11" s="59"/>
      <c r="E11" s="46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8"/>
      <c r="AJ11" s="39"/>
      <c r="AK11" s="42"/>
    </row>
    <row r="12" spans="1:38" ht="22.5" customHeight="1" x14ac:dyDescent="0.25">
      <c r="A12" s="3" t="s">
        <v>88</v>
      </c>
      <c r="B12" s="3" t="s">
        <v>87</v>
      </c>
      <c r="C12" s="3" t="s">
        <v>119</v>
      </c>
      <c r="D12" s="9" t="s">
        <v>66</v>
      </c>
      <c r="E12" s="3" t="s">
        <v>89</v>
      </c>
      <c r="F12" s="3" t="s">
        <v>90</v>
      </c>
      <c r="G12" s="3" t="s">
        <v>91</v>
      </c>
      <c r="H12" s="3" t="s">
        <v>92</v>
      </c>
      <c r="I12" s="3" t="s">
        <v>93</v>
      </c>
      <c r="J12" s="3" t="s">
        <v>94</v>
      </c>
      <c r="K12" s="3" t="s">
        <v>95</v>
      </c>
      <c r="L12" s="3" t="s">
        <v>96</v>
      </c>
      <c r="M12" s="3" t="s">
        <v>97</v>
      </c>
      <c r="N12" s="3" t="s">
        <v>98</v>
      </c>
      <c r="O12" s="3" t="s">
        <v>99</v>
      </c>
      <c r="P12" s="3" t="s">
        <v>100</v>
      </c>
      <c r="Q12" s="3" t="s">
        <v>101</v>
      </c>
      <c r="R12" s="3" t="s">
        <v>102</v>
      </c>
      <c r="S12" s="3" t="s">
        <v>103</v>
      </c>
      <c r="T12" s="3" t="s">
        <v>104</v>
      </c>
      <c r="U12" s="3" t="s">
        <v>105</v>
      </c>
      <c r="V12" s="3" t="s">
        <v>106</v>
      </c>
      <c r="W12" s="3" t="s">
        <v>107</v>
      </c>
      <c r="X12" s="3" t="s">
        <v>108</v>
      </c>
      <c r="Y12" s="3" t="s">
        <v>109</v>
      </c>
      <c r="Z12" s="3" t="s">
        <v>110</v>
      </c>
      <c r="AA12" s="3" t="s">
        <v>111</v>
      </c>
      <c r="AB12" s="3" t="s">
        <v>112</v>
      </c>
      <c r="AC12" s="3" t="s">
        <v>113</v>
      </c>
      <c r="AD12" s="3" t="s">
        <v>114</v>
      </c>
      <c r="AE12" s="3" t="s">
        <v>115</v>
      </c>
      <c r="AF12" s="3" t="s">
        <v>116</v>
      </c>
      <c r="AG12" s="3" t="s">
        <v>117</v>
      </c>
      <c r="AH12" s="3" t="s">
        <v>118</v>
      </c>
      <c r="AI12" s="3" t="s">
        <v>127</v>
      </c>
      <c r="AJ12" s="3" t="s">
        <v>68</v>
      </c>
      <c r="AK12" s="3" t="s">
        <v>69</v>
      </c>
      <c r="AL12" s="4"/>
    </row>
    <row r="13" spans="1:38" x14ac:dyDescent="0.25">
      <c r="A13" s="5" t="s">
        <v>62</v>
      </c>
      <c r="B13" s="3">
        <f>SUMPRODUCT((Настройки!$E$32:$AI$32=1)*E16:AI16)</f>
        <v>0</v>
      </c>
      <c r="D13" s="5">
        <v>1</v>
      </c>
      <c r="E13" s="30">
        <f>SUMPRODUCT((Декабрь[№]=1)*Декабрь[1],Декабрь[Периодичность])</f>
        <v>0</v>
      </c>
      <c r="F13" s="30">
        <f>SUMPRODUCT((Декабрь[№]=1)*Декабрь[2],Декабрь[Периодичность])</f>
        <v>0</v>
      </c>
      <c r="G13" s="30">
        <f>SUMPRODUCT((Декабрь[№]=1)*Декабрь[3],Декабрь[Периодичность])</f>
        <v>0</v>
      </c>
      <c r="H13" s="30">
        <f>SUMPRODUCT((Декабрь[№]=1)*Декабрь[4],Декабрь[Периодичность])</f>
        <v>0</v>
      </c>
      <c r="I13" s="30">
        <f>SUMPRODUCT((Декабрь[№]=1)*Декабрь[5],Декабрь[Периодичность])</f>
        <v>0</v>
      </c>
      <c r="J13" s="30">
        <f>SUMPRODUCT((Декабрь[№]=1)*Декабрь[6],Декабрь[Периодичность])</f>
        <v>0</v>
      </c>
      <c r="K13" s="30">
        <f>SUMPRODUCT((Декабрь[№]=1)*Декабрь[7],Декабрь[Периодичность])</f>
        <v>0</v>
      </c>
      <c r="L13" s="30">
        <f>SUMPRODUCT((Декабрь[№]=1)*Декабрь[8],Декабрь[Периодичность])</f>
        <v>0</v>
      </c>
      <c r="M13" s="30">
        <f>SUMPRODUCT((Декабрь[№]=1)*Декабрь[9],Декабрь[Периодичность])</f>
        <v>0</v>
      </c>
      <c r="N13" s="30">
        <f>SUMPRODUCT((Декабрь[№]=1)*Декабрь[10],Декабрь[Периодичность])</f>
        <v>0</v>
      </c>
      <c r="O13" s="30">
        <f>SUMPRODUCT((Декабрь[№]=1)*Декабрь[11],Декабрь[Периодичность])</f>
        <v>0</v>
      </c>
      <c r="P13" s="30">
        <f>SUMPRODUCT((Декабрь[№]=1)*Декабрь[12],Декабрь[Периодичность])</f>
        <v>0</v>
      </c>
      <c r="Q13" s="30">
        <f>SUMPRODUCT((Декабрь[№]=1)*Декабрь[13],Декабрь[Периодичность])</f>
        <v>0</v>
      </c>
      <c r="R13" s="30">
        <f>SUMPRODUCT((Декабрь[№]=1)*Декабрь[14],Декабрь[Периодичность])</f>
        <v>0</v>
      </c>
      <c r="S13" s="30">
        <f>SUMPRODUCT((Декабрь[№]=1)*Декабрь[15],Декабрь[Периодичность])</f>
        <v>0</v>
      </c>
      <c r="T13" s="30">
        <f>SUMPRODUCT((Декабрь[№]=1)*Декабрь[16],Декабрь[Периодичность])</f>
        <v>0</v>
      </c>
      <c r="U13" s="30">
        <f>SUMPRODUCT((Декабрь[№]=1)*Декабрь[17],Декабрь[Периодичность])</f>
        <v>0</v>
      </c>
      <c r="V13" s="30">
        <f>SUMPRODUCT((Декабрь[№]=1)*Декабрь[18],Декабрь[Периодичность])</f>
        <v>0</v>
      </c>
      <c r="W13" s="30">
        <f>SUMPRODUCT((Декабрь[№]=1)*Декабрь[19],Декабрь[Периодичность])</f>
        <v>0</v>
      </c>
      <c r="X13" s="30">
        <f>SUMPRODUCT((Декабрь[№]=1)*Декабрь[20],Декабрь[Периодичность])</f>
        <v>0</v>
      </c>
      <c r="Y13" s="30">
        <f>SUMPRODUCT((Декабрь[№]=1)*Декабрь[21],Декабрь[Периодичность])</f>
        <v>0</v>
      </c>
      <c r="Z13" s="30">
        <f>SUMPRODUCT((Декабрь[№]=1)*Декабрь[22],Декабрь[Периодичность])</f>
        <v>0</v>
      </c>
      <c r="AA13" s="30">
        <f>SUMPRODUCT((Декабрь[№]=1)*Декабрь[23],Декабрь[Периодичность])</f>
        <v>0</v>
      </c>
      <c r="AB13" s="30">
        <f>SUMPRODUCT((Декабрь[№]=1)*Декабрь[24],Декабрь[Периодичность])</f>
        <v>0</v>
      </c>
      <c r="AC13" s="30">
        <f>SUMPRODUCT((Декабрь[№]=1)*Декабрь[25],Декабрь[Периодичность])</f>
        <v>0</v>
      </c>
      <c r="AD13" s="30">
        <f>SUMPRODUCT((Декабрь[№]=1)*Декабрь[26],Декабрь[Периодичность])</f>
        <v>0</v>
      </c>
      <c r="AE13" s="30">
        <f>SUMPRODUCT((Декабрь[№]=1)*Декабрь[27],Декабрь[Периодичность])</f>
        <v>0</v>
      </c>
      <c r="AF13" s="30">
        <f>SUMPRODUCT((Декабрь[№]=1)*Декабрь[28],Декабрь[Периодичность])</f>
        <v>0</v>
      </c>
      <c r="AG13" s="30">
        <f>SUMPRODUCT((Декабрь[№]=1)*Декабрь[29],Декабрь[Периодичность])</f>
        <v>0</v>
      </c>
      <c r="AH13" s="30">
        <f>SUMPRODUCT((Декабрь[№]=1)*Декабрь[30],Декабрь[Периодичность])</f>
        <v>0</v>
      </c>
      <c r="AI13" s="30">
        <f>SUMPRODUCT((Декабрь[№]=1)*Декабрь[31],Декабрь[Периодичность])</f>
        <v>0</v>
      </c>
      <c r="AL13" s="4"/>
    </row>
    <row r="14" spans="1:38" x14ac:dyDescent="0.25">
      <c r="B14" s="3">
        <f>SUMPRODUCT((Настройки!$E$32:$AI$32=2)*E16:AI16)</f>
        <v>0</v>
      </c>
      <c r="D14" s="5">
        <v>2</v>
      </c>
      <c r="E14" s="30">
        <f>SUMPRODUCT((Декабрь[№]=2)*Декабрь[1],Декабрь[Периодичность])</f>
        <v>0</v>
      </c>
      <c r="F14" s="30">
        <f>SUMPRODUCT((Декабрь[№]=2)*Декабрь[2],Декабрь[Периодичность])</f>
        <v>0</v>
      </c>
      <c r="G14" s="30">
        <f>SUMPRODUCT((Декабрь[№]=2)*Декабрь[3],Декабрь[Периодичность])</f>
        <v>0</v>
      </c>
      <c r="H14" s="30">
        <f>SUMPRODUCT((Декабрь[№]=2)*Декабрь[4],Декабрь[Периодичность])</f>
        <v>0</v>
      </c>
      <c r="I14" s="30">
        <f>SUMPRODUCT((Декабрь[№]=2)*Декабрь[5],Декабрь[Периодичность])</f>
        <v>0</v>
      </c>
      <c r="J14" s="30">
        <f>SUMPRODUCT((Декабрь[№]=2)*Декабрь[6],Декабрь[Периодичность])</f>
        <v>0</v>
      </c>
      <c r="K14" s="30">
        <f>SUMPRODUCT((Декабрь[№]=2)*Декабрь[7],Декабрь[Периодичность])</f>
        <v>0</v>
      </c>
      <c r="L14" s="30">
        <f>SUMPRODUCT((Декабрь[№]=2)*Декабрь[8],Декабрь[Периодичность])</f>
        <v>0</v>
      </c>
      <c r="M14" s="30">
        <f>SUMPRODUCT((Декабрь[№]=2)*Декабрь[9],Декабрь[Периодичность])</f>
        <v>0</v>
      </c>
      <c r="N14" s="30">
        <f>SUMPRODUCT((Декабрь[№]=2)*Декабрь[10],Декабрь[Периодичность])</f>
        <v>0</v>
      </c>
      <c r="O14" s="30">
        <f>SUMPRODUCT((Декабрь[№]=2)*Декабрь[11],Декабрь[Периодичность])</f>
        <v>0</v>
      </c>
      <c r="P14" s="30">
        <f>SUMPRODUCT((Декабрь[№]=2)*Декабрь[12],Декабрь[Периодичность])</f>
        <v>0</v>
      </c>
      <c r="Q14" s="30">
        <f>SUMPRODUCT((Декабрь[№]=2)*Декабрь[13],Декабрь[Периодичность])</f>
        <v>0</v>
      </c>
      <c r="R14" s="30">
        <f>SUMPRODUCT((Декабрь[№]=2)*Декабрь[14],Декабрь[Периодичность])</f>
        <v>0</v>
      </c>
      <c r="S14" s="30">
        <f>SUMPRODUCT((Декабрь[№]=2)*Декабрь[15],Декабрь[Периодичность])</f>
        <v>0</v>
      </c>
      <c r="T14" s="30">
        <f>SUMPRODUCT((Декабрь[№]=2)*Декабрь[16],Декабрь[Периодичность])</f>
        <v>0</v>
      </c>
      <c r="U14" s="30">
        <f>SUMPRODUCT((Декабрь[№]=2)*Декабрь[17],Декабрь[Периодичность])</f>
        <v>0</v>
      </c>
      <c r="V14" s="30">
        <f>SUMPRODUCT((Декабрь[№]=2)*Декабрь[18],Декабрь[Периодичность])</f>
        <v>0</v>
      </c>
      <c r="W14" s="30">
        <f>SUMPRODUCT((Декабрь[№]=2)*Декабрь[19],Декабрь[Периодичность])</f>
        <v>0</v>
      </c>
      <c r="X14" s="30">
        <f>SUMPRODUCT((Декабрь[№]=2)*Декабрь[20],Декабрь[Периодичность])</f>
        <v>0</v>
      </c>
      <c r="Y14" s="30">
        <f>SUMPRODUCT((Декабрь[№]=2)*Декабрь[21],Декабрь[Периодичность])</f>
        <v>0</v>
      </c>
      <c r="Z14" s="30">
        <f>SUMPRODUCT((Декабрь[№]=2)*Декабрь[22],Декабрь[Периодичность])</f>
        <v>0</v>
      </c>
      <c r="AA14" s="30">
        <f>SUMPRODUCT((Декабрь[№]=2)*Декабрь[23],Декабрь[Периодичность])</f>
        <v>0</v>
      </c>
      <c r="AB14" s="30">
        <f>SUMPRODUCT((Декабрь[№]=2)*Декабрь[24],Декабрь[Периодичность])</f>
        <v>0</v>
      </c>
      <c r="AC14" s="30">
        <f>SUMPRODUCT((Декабрь[№]=2)*Декабрь[25],Декабрь[Периодичность])</f>
        <v>0</v>
      </c>
      <c r="AD14" s="30">
        <f>SUMPRODUCT((Декабрь[№]=2)*Декабрь[26],Декабрь[Периодичность])</f>
        <v>0</v>
      </c>
      <c r="AE14" s="30">
        <f>SUMPRODUCT((Декабрь[№]=2)*Декабрь[27],Декабрь[Периодичность])</f>
        <v>0</v>
      </c>
      <c r="AF14" s="30">
        <f>SUMPRODUCT((Декабрь[№]=2)*Декабрь[28],Декабрь[Периодичность])</f>
        <v>0</v>
      </c>
      <c r="AG14" s="30">
        <f>SUMPRODUCT((Декабрь[№]=2)*Декабрь[29],Декабрь[Периодичность])</f>
        <v>0</v>
      </c>
      <c r="AH14" s="30">
        <f>SUMPRODUCT((Декабрь[№]=2)*Декабрь[30],Декабрь[Периодичность])</f>
        <v>0</v>
      </c>
      <c r="AI14" s="30">
        <f>SUMPRODUCT((Декабрь[№]=2)*Декабрь[31],Декабрь[Периодичность])</f>
        <v>0</v>
      </c>
      <c r="AL14" s="4"/>
    </row>
    <row r="15" spans="1:38" x14ac:dyDescent="0.25">
      <c r="B15" s="3">
        <f>SUMPRODUCT((Настройки!$E$32:$AI$32=3)*E16:AI16)</f>
        <v>0</v>
      </c>
      <c r="D15" s="5">
        <v>3</v>
      </c>
      <c r="E15" s="30">
        <f>SUMPRODUCT((Декабрь[№]=3)*Декабрь[1],Декабрь[Периодичность])</f>
        <v>0</v>
      </c>
      <c r="F15" s="30">
        <f>SUMPRODUCT((Декабрь[№]=3)*Декабрь[2],Декабрь[Периодичность])</f>
        <v>0</v>
      </c>
      <c r="G15" s="30">
        <f>SUMPRODUCT((Декабрь[№]=3)*Декабрь[3],Декабрь[Периодичность])</f>
        <v>0</v>
      </c>
      <c r="H15" s="30">
        <f>SUMPRODUCT((Декабрь[№]=3)*Декабрь[4],Декабрь[Периодичность])</f>
        <v>0</v>
      </c>
      <c r="I15" s="30">
        <f>SUMPRODUCT((Декабрь[№]=3)*Декабрь[5],Декабрь[Периодичность])</f>
        <v>0</v>
      </c>
      <c r="J15" s="30">
        <f>SUMPRODUCT((Декабрь[№]=3)*Декабрь[6],Декабрь[Периодичность])</f>
        <v>0</v>
      </c>
      <c r="K15" s="30">
        <f>SUMPRODUCT((Декабрь[№]=3)*Декабрь[7],Декабрь[Периодичность])</f>
        <v>0</v>
      </c>
      <c r="L15" s="30">
        <f>SUMPRODUCT((Декабрь[№]=3)*Декабрь[8],Декабрь[Периодичность])</f>
        <v>0</v>
      </c>
      <c r="M15" s="30">
        <f>SUMPRODUCT((Декабрь[№]=3)*Декабрь[9],Декабрь[Периодичность])</f>
        <v>0</v>
      </c>
      <c r="N15" s="30">
        <f>SUMPRODUCT((Декабрь[№]=3)*Декабрь[10],Декабрь[Периодичность])</f>
        <v>0</v>
      </c>
      <c r="O15" s="30">
        <f>SUMPRODUCT((Декабрь[№]=3)*Декабрь[11],Декабрь[Периодичность])</f>
        <v>0</v>
      </c>
      <c r="P15" s="30">
        <f>SUMPRODUCT((Декабрь[№]=3)*Декабрь[12],Декабрь[Периодичность])</f>
        <v>0</v>
      </c>
      <c r="Q15" s="30">
        <f>SUMPRODUCT((Декабрь[№]=3)*Декабрь[13],Декабрь[Периодичность])</f>
        <v>0</v>
      </c>
      <c r="R15" s="30">
        <f>SUMPRODUCT((Декабрь[№]=3)*Декабрь[14],Декабрь[Периодичность])</f>
        <v>0</v>
      </c>
      <c r="S15" s="30">
        <f>SUMPRODUCT((Декабрь[№]=3)*Декабрь[15],Декабрь[Периодичность])</f>
        <v>0</v>
      </c>
      <c r="T15" s="30">
        <f>SUMPRODUCT((Декабрь[№]=3)*Декабрь[16],Декабрь[Периодичность])</f>
        <v>0</v>
      </c>
      <c r="U15" s="30">
        <f>SUMPRODUCT((Декабрь[№]=3)*Декабрь[17],Декабрь[Периодичность])</f>
        <v>0</v>
      </c>
      <c r="V15" s="30">
        <f>SUMPRODUCT((Декабрь[№]=3)*Декабрь[18],Декабрь[Периодичность])</f>
        <v>0</v>
      </c>
      <c r="W15" s="30">
        <f>SUMPRODUCT((Декабрь[№]=3)*Декабрь[19],Декабрь[Периодичность])</f>
        <v>0</v>
      </c>
      <c r="X15" s="30">
        <f>SUMPRODUCT((Декабрь[№]=3)*Декабрь[20],Декабрь[Периодичность])</f>
        <v>0</v>
      </c>
      <c r="Y15" s="30">
        <f>SUMPRODUCT((Декабрь[№]=3)*Декабрь[21],Декабрь[Периодичность])</f>
        <v>0</v>
      </c>
      <c r="Z15" s="30">
        <f>SUMPRODUCT((Декабрь[№]=3)*Декабрь[22],Декабрь[Периодичность])</f>
        <v>0</v>
      </c>
      <c r="AA15" s="30">
        <f>SUMPRODUCT((Декабрь[№]=3)*Декабрь[23],Декабрь[Периодичность])</f>
        <v>0</v>
      </c>
      <c r="AB15" s="30">
        <f>SUMPRODUCT((Декабрь[№]=3)*Декабрь[24],Декабрь[Периодичность])</f>
        <v>0</v>
      </c>
      <c r="AC15" s="30">
        <f>SUMPRODUCT((Декабрь[№]=3)*Декабрь[25],Декабрь[Периодичность])</f>
        <v>0</v>
      </c>
      <c r="AD15" s="30">
        <f>SUMPRODUCT((Декабрь[№]=3)*Декабрь[26],Декабрь[Периодичность])</f>
        <v>0</v>
      </c>
      <c r="AE15" s="30">
        <f>SUMPRODUCT((Декабрь[№]=3)*Декабрь[27],Декабрь[Периодичность])</f>
        <v>0</v>
      </c>
      <c r="AF15" s="30">
        <f>SUMPRODUCT((Декабрь[№]=3)*Декабрь[28],Декабрь[Периодичность])</f>
        <v>0</v>
      </c>
      <c r="AG15" s="30">
        <f>SUMPRODUCT((Декабрь[№]=3)*Декабрь[29],Декабрь[Периодичность])</f>
        <v>0</v>
      </c>
      <c r="AH15" s="30">
        <f>SUMPRODUCT((Декабрь[№]=3)*Декабрь[30],Декабрь[Периодичность])</f>
        <v>0</v>
      </c>
      <c r="AI15" s="30">
        <f>SUMPRODUCT((Декабрь[№]=3)*Декабрь[31],Декабрь[Периодичность])</f>
        <v>0</v>
      </c>
      <c r="AK15" s="11"/>
    </row>
    <row r="16" spans="1:38" ht="22.5" customHeight="1" x14ac:dyDescent="0.25">
      <c r="B16" s="3">
        <f>SUMPRODUCT((Настройки!$E$32:$AI$32=4)*E16:AI16)</f>
        <v>0</v>
      </c>
      <c r="D16" s="5"/>
      <c r="E16" s="30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I16" s="30">
        <f>SUM(AI13:AI15)</f>
        <v>0</v>
      </c>
      <c r="AK16" s="11"/>
    </row>
    <row r="17" spans="1:37" ht="22.5" customHeight="1" x14ac:dyDescent="0.25">
      <c r="B17" s="3">
        <f>SUMPRODUCT((Настройки!$E$32:$AI$32=5)*E16:AI16)</f>
        <v>0</v>
      </c>
      <c r="C17" s="5">
        <f>ДекабрьИтоги[[#This Row],[№]]*60</f>
        <v>0</v>
      </c>
      <c r="D17" s="7">
        <f>SUM(ДекабрьИтоги[[#This Row],[1]:[31]])</f>
        <v>0</v>
      </c>
      <c r="E17" s="31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31">
        <f>AI16/60</f>
        <v>0</v>
      </c>
      <c r="AJ17" s="3">
        <f ca="1">SUM(Декабрь[УСЛУГ])</f>
        <v>0</v>
      </c>
      <c r="AK17" s="11">
        <f ca="1">SUM(Декабрь[МИНУТ])</f>
        <v>0</v>
      </c>
    </row>
    <row r="18" spans="1:37" ht="20.25" customHeight="1" x14ac:dyDescent="0.25"/>
    <row r="19" spans="1:37" ht="22.5" customHeight="1" x14ac:dyDescent="0.25">
      <c r="A19" s="49" t="s">
        <v>52</v>
      </c>
      <c r="B19" s="49" t="s">
        <v>53</v>
      </c>
      <c r="C19" s="50"/>
      <c r="D19" s="51" t="s">
        <v>67</v>
      </c>
      <c r="E19" s="43" t="s">
        <v>55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5"/>
      <c r="AJ19" s="39" t="s">
        <v>70</v>
      </c>
      <c r="AK19" s="40" t="s">
        <v>70</v>
      </c>
    </row>
    <row r="20" spans="1:37" ht="18" customHeight="1" x14ac:dyDescent="0.25">
      <c r="A20" s="49"/>
      <c r="B20" s="49"/>
      <c r="C20" s="50"/>
      <c r="D20" s="52"/>
      <c r="E20" s="53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5"/>
      <c r="AJ20" s="39"/>
      <c r="AK20" s="41"/>
    </row>
    <row r="21" spans="1:37" ht="21.75" customHeight="1" x14ac:dyDescent="0.25">
      <c r="A21" s="49"/>
      <c r="B21" s="49"/>
      <c r="C21" s="50"/>
      <c r="D21" s="52"/>
      <c r="E21" s="26">
        <f>Настройки!E18</f>
        <v>45261</v>
      </c>
      <c r="F21" s="26">
        <f>Настройки!F18</f>
        <v>45262</v>
      </c>
      <c r="G21" s="26">
        <f>Настройки!G18</f>
        <v>45263</v>
      </c>
      <c r="H21" s="26">
        <f>Настройки!H18</f>
        <v>45264</v>
      </c>
      <c r="I21" s="26">
        <f>Настройки!I18</f>
        <v>45265</v>
      </c>
      <c r="J21" s="26">
        <f>Настройки!J18</f>
        <v>45266</v>
      </c>
      <c r="K21" s="26">
        <f>Настройки!K18</f>
        <v>45267</v>
      </c>
      <c r="L21" s="26">
        <f>Настройки!L18</f>
        <v>45268</v>
      </c>
      <c r="M21" s="26">
        <f>Настройки!M18</f>
        <v>45269</v>
      </c>
      <c r="N21" s="26">
        <f>Настройки!N18</f>
        <v>45270</v>
      </c>
      <c r="O21" s="26">
        <f>Настройки!O18</f>
        <v>45271</v>
      </c>
      <c r="P21" s="26">
        <f>Настройки!P18</f>
        <v>45272</v>
      </c>
      <c r="Q21" s="26">
        <f>Настройки!Q18</f>
        <v>45273</v>
      </c>
      <c r="R21" s="26">
        <f>Настройки!R18</f>
        <v>45274</v>
      </c>
      <c r="S21" s="26">
        <f>Настройки!S18</f>
        <v>45275</v>
      </c>
      <c r="T21" s="26">
        <f>Настройки!T18</f>
        <v>45276</v>
      </c>
      <c r="U21" s="26">
        <f>Настройки!U18</f>
        <v>45277</v>
      </c>
      <c r="V21" s="26">
        <f>Настройки!V18</f>
        <v>45278</v>
      </c>
      <c r="W21" s="26">
        <f>Настройки!W18</f>
        <v>45279</v>
      </c>
      <c r="X21" s="26">
        <f>Настройки!X18</f>
        <v>45280</v>
      </c>
      <c r="Y21" s="26">
        <f>Настройки!Y18</f>
        <v>45281</v>
      </c>
      <c r="Z21" s="26">
        <f>Настройки!Z18</f>
        <v>45282</v>
      </c>
      <c r="AA21" s="26">
        <f>Настройки!AA18</f>
        <v>45283</v>
      </c>
      <c r="AB21" s="26">
        <f>Настройки!AB18</f>
        <v>45284</v>
      </c>
      <c r="AC21" s="26">
        <f>Настройки!AC18</f>
        <v>45285</v>
      </c>
      <c r="AD21" s="26">
        <f>Настройки!AD18</f>
        <v>45286</v>
      </c>
      <c r="AE21" s="26">
        <f>Настройки!AE18</f>
        <v>45287</v>
      </c>
      <c r="AF21" s="26">
        <f>Настройки!AF18</f>
        <v>45288</v>
      </c>
      <c r="AG21" s="26">
        <f>Настройки!AG18</f>
        <v>45289</v>
      </c>
      <c r="AH21" s="26">
        <f>Настройки!AH18</f>
        <v>45290</v>
      </c>
      <c r="AI21" s="26">
        <f>Настройки!AI18</f>
        <v>45291</v>
      </c>
      <c r="AJ21" s="39"/>
      <c r="AK21" s="41"/>
    </row>
    <row r="22" spans="1:37" x14ac:dyDescent="0.25">
      <c r="A22" s="49"/>
      <c r="B22" s="49"/>
      <c r="C22" s="50"/>
      <c r="D22" s="52"/>
      <c r="E22" s="49" t="s">
        <v>54</v>
      </c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56"/>
      <c r="AJ22" s="39"/>
      <c r="AK22" s="41"/>
    </row>
    <row r="23" spans="1:37" x14ac:dyDescent="0.25">
      <c r="A23" s="49"/>
      <c r="B23" s="49"/>
      <c r="C23" s="50"/>
      <c r="D23" s="52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56"/>
      <c r="AJ23" s="39"/>
      <c r="AK23" s="42"/>
    </row>
    <row r="24" spans="1:37" ht="23.25" customHeight="1" x14ac:dyDescent="0.25">
      <c r="A24" s="3" t="s">
        <v>65</v>
      </c>
      <c r="B24" s="2" t="s">
        <v>63</v>
      </c>
      <c r="C24" s="3" t="s">
        <v>64</v>
      </c>
      <c r="D24" s="9" t="s">
        <v>66</v>
      </c>
      <c r="E24" s="3" t="s">
        <v>89</v>
      </c>
      <c r="F24" s="3" t="s">
        <v>90</v>
      </c>
      <c r="G24" s="3" t="s">
        <v>91</v>
      </c>
      <c r="H24" s="3" t="s">
        <v>92</v>
      </c>
      <c r="I24" s="3" t="s">
        <v>93</v>
      </c>
      <c r="J24" s="3" t="s">
        <v>94</v>
      </c>
      <c r="K24" s="3" t="s">
        <v>95</v>
      </c>
      <c r="L24" s="3" t="s">
        <v>96</v>
      </c>
      <c r="M24" s="3" t="s">
        <v>97</v>
      </c>
      <c r="N24" s="3" t="s">
        <v>98</v>
      </c>
      <c r="O24" s="3" t="s">
        <v>99</v>
      </c>
      <c r="P24" s="3" t="s">
        <v>100</v>
      </c>
      <c r="Q24" s="3" t="s">
        <v>101</v>
      </c>
      <c r="R24" s="3" t="s">
        <v>102</v>
      </c>
      <c r="S24" s="3" t="s">
        <v>103</v>
      </c>
      <c r="T24" s="3" t="s">
        <v>104</v>
      </c>
      <c r="U24" s="3" t="s">
        <v>105</v>
      </c>
      <c r="V24" s="3" t="s">
        <v>106</v>
      </c>
      <c r="W24" s="3" t="s">
        <v>107</v>
      </c>
      <c r="X24" s="3" t="s">
        <v>108</v>
      </c>
      <c r="Y24" s="3" t="s">
        <v>109</v>
      </c>
      <c r="Z24" s="3" t="s">
        <v>110</v>
      </c>
      <c r="AA24" s="3" t="s">
        <v>111</v>
      </c>
      <c r="AB24" s="3" t="s">
        <v>112</v>
      </c>
      <c r="AC24" s="3" t="s">
        <v>113</v>
      </c>
      <c r="AD24" s="3" t="s">
        <v>114</v>
      </c>
      <c r="AE24" s="3" t="s">
        <v>115</v>
      </c>
      <c r="AF24" s="3" t="s">
        <v>116</v>
      </c>
      <c r="AG24" s="3" t="s">
        <v>117</v>
      </c>
      <c r="AH24" s="3" t="s">
        <v>118</v>
      </c>
      <c r="AI24" s="3" t="s">
        <v>127</v>
      </c>
      <c r="AJ24" s="3" t="s">
        <v>68</v>
      </c>
      <c r="AK24" s="3" t="s">
        <v>69</v>
      </c>
    </row>
    <row r="25" spans="1:37" ht="31.5" x14ac:dyDescent="0.25">
      <c r="A25" s="16" t="s">
        <v>1</v>
      </c>
      <c r="B25" s="2" t="s">
        <v>56</v>
      </c>
      <c r="C25" s="8">
        <v>60</v>
      </c>
      <c r="D25" s="11">
        <v>1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5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25" s="5">
        <f ca="1">IF(Декабрь[[#This Row],[УСЛУГ]]&lt;&gt;"",Декабрь[[#This Row],[УСЛУГ]]*Декабрь[[#This Row],[Периодичность]],"")</f>
        <v>0</v>
      </c>
    </row>
    <row r="26" spans="1:37" x14ac:dyDescent="0.25">
      <c r="A26" s="16"/>
      <c r="B26" s="2"/>
      <c r="C26" s="8">
        <v>60</v>
      </c>
      <c r="D26" s="11">
        <v>2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5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26" s="5" t="str">
        <f ca="1">IF(Декабрь[[#This Row],[УСЛУГ]]&lt;&gt;"",Декабрь[[#This Row],[УСЛУГ]]*Декабрь[[#This Row],[Периодичность]],"")</f>
        <v/>
      </c>
    </row>
    <row r="27" spans="1:37" x14ac:dyDescent="0.25">
      <c r="A27" s="16"/>
      <c r="B27" s="2"/>
      <c r="C27" s="8">
        <v>60</v>
      </c>
      <c r="D27" s="11">
        <v>3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5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27" s="5" t="str">
        <f ca="1">IF(Декабрь[[#This Row],[УСЛУГ]]&lt;&gt;"",Декабрь[[#This Row],[УСЛУГ]]*Декабрь[[#This Row],[Периодичность]],"")</f>
        <v/>
      </c>
    </row>
    <row r="28" spans="1:37" ht="31.5" x14ac:dyDescent="0.25">
      <c r="A28" s="16" t="s">
        <v>3</v>
      </c>
      <c r="B28" s="2" t="s">
        <v>58</v>
      </c>
      <c r="C28" s="8">
        <v>10</v>
      </c>
      <c r="D28" s="11">
        <v>1</v>
      </c>
      <c r="E28" s="18"/>
      <c r="F28" s="18"/>
      <c r="G28" s="18"/>
      <c r="H28" s="18"/>
      <c r="I28" s="18"/>
      <c r="J28" s="18"/>
      <c r="K28" s="10"/>
      <c r="L28" s="10"/>
      <c r="M28" s="10"/>
      <c r="N28" s="10"/>
      <c r="O28" s="10"/>
      <c r="P28" s="18"/>
      <c r="Q28" s="18"/>
      <c r="R28" s="10"/>
      <c r="S28" s="10"/>
      <c r="T28" s="10"/>
      <c r="U28" s="10"/>
      <c r="V28" s="10"/>
      <c r="W28" s="18"/>
      <c r="X28" s="18"/>
      <c r="Y28" s="10"/>
      <c r="Z28" s="10"/>
      <c r="AA28" s="10"/>
      <c r="AB28" s="10"/>
      <c r="AC28" s="10"/>
      <c r="AD28" s="18"/>
      <c r="AE28" s="18"/>
      <c r="AF28" s="18"/>
      <c r="AG28" s="18"/>
      <c r="AH28" s="18"/>
      <c r="AI28" s="20"/>
      <c r="AJ28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28" s="29">
        <f ca="1">IF(Декабрь[[#This Row],[УСЛУГ]]&lt;&gt;"",Декабрь[[#This Row],[УСЛУГ]]*Декабрь[[#This Row],[Периодичность]],"")</f>
        <v>0</v>
      </c>
    </row>
    <row r="29" spans="1:37" ht="18.75" x14ac:dyDescent="0.25">
      <c r="A29" s="16"/>
      <c r="B29" s="2"/>
      <c r="C29" s="8">
        <v>10</v>
      </c>
      <c r="D29" s="11">
        <v>2</v>
      </c>
      <c r="E29" s="18"/>
      <c r="F29" s="18"/>
      <c r="G29" s="18"/>
      <c r="H29" s="18"/>
      <c r="I29" s="18"/>
      <c r="J29" s="18"/>
      <c r="K29" s="10"/>
      <c r="L29" s="10"/>
      <c r="M29" s="10"/>
      <c r="N29" s="10"/>
      <c r="O29" s="10"/>
      <c r="P29" s="18"/>
      <c r="Q29" s="18"/>
      <c r="R29" s="10"/>
      <c r="S29" s="10"/>
      <c r="T29" s="10"/>
      <c r="U29" s="10"/>
      <c r="V29" s="10"/>
      <c r="W29" s="18"/>
      <c r="X29" s="18"/>
      <c r="Y29" s="10"/>
      <c r="Z29" s="10"/>
      <c r="AA29" s="10"/>
      <c r="AB29" s="10"/>
      <c r="AC29" s="10"/>
      <c r="AD29" s="18"/>
      <c r="AE29" s="18"/>
      <c r="AF29" s="18"/>
      <c r="AG29" s="18"/>
      <c r="AH29" s="18"/>
      <c r="AI29" s="20"/>
      <c r="AJ29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29" s="29" t="str">
        <f ca="1">IF(Декабрь[[#This Row],[УСЛУГ]]&lt;&gt;"",Декабрь[[#This Row],[УСЛУГ]]*Декабрь[[#This Row],[Периодичность]],"")</f>
        <v/>
      </c>
    </row>
    <row r="30" spans="1:37" x14ac:dyDescent="0.25">
      <c r="A30" s="16"/>
      <c r="B30" s="2"/>
      <c r="C30" s="8">
        <v>10</v>
      </c>
      <c r="D30" s="11">
        <v>3</v>
      </c>
      <c r="E30" s="18"/>
      <c r="F30" s="18"/>
      <c r="G30" s="18"/>
      <c r="H30" s="18"/>
      <c r="I30" s="18"/>
      <c r="J30" s="18"/>
      <c r="K30" s="10"/>
      <c r="L30" s="10"/>
      <c r="M30" s="10"/>
      <c r="N30" s="10"/>
      <c r="O30" s="10"/>
      <c r="P30" s="18"/>
      <c r="Q30" s="18"/>
      <c r="R30" s="10"/>
      <c r="S30" s="10"/>
      <c r="T30" s="10"/>
      <c r="U30" s="10"/>
      <c r="V30" s="10"/>
      <c r="W30" s="18"/>
      <c r="X30" s="18"/>
      <c r="Y30" s="10"/>
      <c r="Z30" s="10"/>
      <c r="AA30" s="10"/>
      <c r="AB30" s="10"/>
      <c r="AC30" s="10"/>
      <c r="AD30" s="18"/>
      <c r="AE30" s="18"/>
      <c r="AF30" s="18"/>
      <c r="AG30" s="18"/>
      <c r="AH30" s="18"/>
      <c r="AI30" s="19"/>
      <c r="AJ30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30" s="29" t="str">
        <f ca="1">IF(Декабрь[[#This Row],[УСЛУГ]]&lt;&gt;"",Декабрь[[#This Row],[УСЛУГ]]*Декабрь[[#This Row],[Периодичность]],"")</f>
        <v/>
      </c>
    </row>
    <row r="31" spans="1:37" x14ac:dyDescent="0.25">
      <c r="A31" s="16" t="s">
        <v>5</v>
      </c>
      <c r="B31" s="2" t="s">
        <v>58</v>
      </c>
      <c r="C31" s="8">
        <v>30</v>
      </c>
      <c r="D31" s="11">
        <v>1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31" s="29">
        <f ca="1">IF(Декабрь[[#This Row],[УСЛУГ]]&lt;&gt;"",Декабрь[[#This Row],[УСЛУГ]]*Декабрь[[#This Row],[Периодичность]],"")</f>
        <v>0</v>
      </c>
    </row>
    <row r="32" spans="1:37" x14ac:dyDescent="0.25">
      <c r="A32" s="16"/>
      <c r="B32" s="2"/>
      <c r="C32" s="8">
        <v>30</v>
      </c>
      <c r="D32" s="11">
        <v>2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32" s="29" t="str">
        <f ca="1">IF(Декабрь[[#This Row],[УСЛУГ]]&lt;&gt;"",Декабрь[[#This Row],[УСЛУГ]]*Декабрь[[#This Row],[Периодичность]],"")</f>
        <v/>
      </c>
    </row>
    <row r="33" spans="1:37" x14ac:dyDescent="0.25">
      <c r="A33" s="16"/>
      <c r="B33" s="2"/>
      <c r="C33" s="8">
        <v>30</v>
      </c>
      <c r="D33" s="11">
        <v>3</v>
      </c>
      <c r="E33" s="18"/>
      <c r="F33" s="18"/>
      <c r="G33" s="18"/>
      <c r="H33" s="18"/>
      <c r="I33" s="18"/>
      <c r="J33" s="18"/>
      <c r="K33" s="10"/>
      <c r="L33" s="10"/>
      <c r="M33" s="10"/>
      <c r="N33" s="10"/>
      <c r="O33" s="10"/>
      <c r="P33" s="18"/>
      <c r="Q33" s="18"/>
      <c r="R33" s="10"/>
      <c r="S33" s="10"/>
      <c r="T33" s="10"/>
      <c r="U33" s="10"/>
      <c r="V33" s="10"/>
      <c r="W33" s="18"/>
      <c r="X33" s="18"/>
      <c r="Y33" s="10"/>
      <c r="Z33" s="10"/>
      <c r="AA33" s="10"/>
      <c r="AB33" s="10"/>
      <c r="AC33" s="10"/>
      <c r="AD33" s="18"/>
      <c r="AE33" s="18"/>
      <c r="AF33" s="18"/>
      <c r="AG33" s="18"/>
      <c r="AH33" s="18"/>
      <c r="AI33" s="19"/>
      <c r="AJ33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33" s="29" t="str">
        <f ca="1">IF(Декабрь[[#This Row],[УСЛУГ]]&lt;&gt;"",Декабрь[[#This Row],[УСЛУГ]]*Декабрь[[#This Row],[Периодичность]],"")</f>
        <v/>
      </c>
    </row>
    <row r="34" spans="1:37" ht="47.25" x14ac:dyDescent="0.25">
      <c r="A34" s="16" t="s">
        <v>85</v>
      </c>
      <c r="B34" s="2" t="s">
        <v>58</v>
      </c>
      <c r="C34" s="8">
        <v>3</v>
      </c>
      <c r="D34" s="11">
        <v>1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20"/>
      <c r="AJ34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34" s="29">
        <f ca="1">IF(Декабрь[[#This Row],[УСЛУГ]]&lt;&gt;"",Декабрь[[#This Row],[УСЛУГ]]*Декабрь[[#This Row],[Периодичность]],"")</f>
        <v>0</v>
      </c>
    </row>
    <row r="35" spans="1:37" ht="18.75" x14ac:dyDescent="0.25">
      <c r="A35" s="16"/>
      <c r="B35" s="2"/>
      <c r="C35" s="8">
        <v>3</v>
      </c>
      <c r="D35" s="11">
        <v>2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20"/>
      <c r="AJ35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35" s="29" t="str">
        <f ca="1">IF(Декабрь[[#This Row],[УСЛУГ]]&lt;&gt;"",Декабрь[[#This Row],[УСЛУГ]]*Декабрь[[#This Row],[Периодичность]],"")</f>
        <v/>
      </c>
    </row>
    <row r="36" spans="1:37" ht="18.75" x14ac:dyDescent="0.25">
      <c r="A36" s="16"/>
      <c r="B36" s="2"/>
      <c r="C36" s="8">
        <v>3</v>
      </c>
      <c r="D36" s="11">
        <v>3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20"/>
      <c r="AJ36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36" s="29" t="str">
        <f ca="1">IF(Декабрь[[#This Row],[УСЛУГ]]&lt;&gt;"",Декабрь[[#This Row],[УСЛУГ]]*Декабрь[[#This Row],[Периодичность]],"")</f>
        <v/>
      </c>
    </row>
    <row r="37" spans="1:37" ht="18.75" x14ac:dyDescent="0.25">
      <c r="A37" s="16" t="s">
        <v>8</v>
      </c>
      <c r="B37" s="2" t="s">
        <v>59</v>
      </c>
      <c r="C37" s="8">
        <v>15</v>
      </c>
      <c r="D37" s="11">
        <v>1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20"/>
      <c r="AJ37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37" s="29">
        <f ca="1">IF(Декабрь[[#This Row],[УСЛУГ]]&lt;&gt;"",Декабрь[[#This Row],[УСЛУГ]]*Декабрь[[#This Row],[Периодичность]],"")</f>
        <v>0</v>
      </c>
    </row>
    <row r="38" spans="1:37" ht="18.75" x14ac:dyDescent="0.25">
      <c r="A38" s="16"/>
      <c r="B38" s="2"/>
      <c r="C38" s="8">
        <v>15</v>
      </c>
      <c r="D38" s="11">
        <v>2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0"/>
      <c r="AJ38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38" s="29" t="str">
        <f ca="1">IF(Декабрь[[#This Row],[УСЛУГ]]&lt;&gt;"",Декабрь[[#This Row],[УСЛУГ]]*Декабрь[[#This Row],[Периодичность]],"")</f>
        <v/>
      </c>
    </row>
    <row r="39" spans="1:37" ht="18.75" x14ac:dyDescent="0.25">
      <c r="A39" s="16"/>
      <c r="B39" s="2"/>
      <c r="C39" s="8">
        <v>15</v>
      </c>
      <c r="D39" s="11">
        <v>3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20"/>
      <c r="AJ39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39" s="29" t="str">
        <f ca="1">IF(Декабрь[[#This Row],[УСЛУГ]]&lt;&gt;"",Декабрь[[#This Row],[УСЛУГ]]*Декабрь[[#This Row],[Периодичность]],"")</f>
        <v/>
      </c>
    </row>
    <row r="40" spans="1:37" ht="47.25" x14ac:dyDescent="0.25">
      <c r="A40" s="16" t="s">
        <v>84</v>
      </c>
      <c r="B40" s="2" t="s">
        <v>61</v>
      </c>
      <c r="C40" s="8">
        <v>49</v>
      </c>
      <c r="D40" s="11">
        <v>1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20"/>
      <c r="AJ40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40" s="29">
        <f ca="1">IF(Декабрь[[#This Row],[УСЛУГ]]&lt;&gt;"",Декабрь[[#This Row],[УСЛУГ]]*Декабрь[[#This Row],[Периодичность]],"")</f>
        <v>0</v>
      </c>
    </row>
    <row r="41" spans="1:37" ht="18.75" x14ac:dyDescent="0.25">
      <c r="A41" s="16"/>
      <c r="B41" s="2"/>
      <c r="C41" s="8">
        <v>49</v>
      </c>
      <c r="D41" s="11">
        <v>2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20"/>
      <c r="AJ41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41" s="29" t="str">
        <f ca="1">IF(Декабрь[[#This Row],[УСЛУГ]]&lt;&gt;"",Декабрь[[#This Row],[УСЛУГ]]*Декабрь[[#This Row],[Периодичность]],"")</f>
        <v/>
      </c>
    </row>
    <row r="42" spans="1:37" ht="18.75" x14ac:dyDescent="0.25">
      <c r="A42" s="16"/>
      <c r="B42" s="2"/>
      <c r="C42" s="8">
        <v>49</v>
      </c>
      <c r="D42" s="11">
        <v>3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20"/>
      <c r="AJ42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42" s="29" t="str">
        <f ca="1">IF(Декабрь[[#This Row],[УСЛУГ]]&lt;&gt;"",Декабрь[[#This Row],[УСЛУГ]]*Декабрь[[#This Row],[Периодичность]],"")</f>
        <v/>
      </c>
    </row>
    <row r="43" spans="1:37" ht="31.5" x14ac:dyDescent="0.25">
      <c r="A43" s="16" t="s">
        <v>13</v>
      </c>
      <c r="B43" s="2" t="s">
        <v>59</v>
      </c>
      <c r="C43" s="8">
        <v>12</v>
      </c>
      <c r="D43" s="11">
        <v>1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43" s="29">
        <f ca="1">IF(Декабрь[[#This Row],[УСЛУГ]]&lt;&gt;"",Декабрь[[#This Row],[УСЛУГ]]*Декабрь[[#This Row],[Периодичность]],"")</f>
        <v>0</v>
      </c>
    </row>
    <row r="44" spans="1:37" ht="18.75" x14ac:dyDescent="0.25">
      <c r="A44" s="16"/>
      <c r="B44" s="2"/>
      <c r="C44" s="8">
        <v>12</v>
      </c>
      <c r="D44" s="11">
        <v>2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20"/>
      <c r="AJ44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44" s="29" t="str">
        <f ca="1">IF(Декабрь[[#This Row],[УСЛУГ]]&lt;&gt;"",Декабрь[[#This Row],[УСЛУГ]]*Декабрь[[#This Row],[Периодичность]],"")</f>
        <v/>
      </c>
    </row>
    <row r="45" spans="1:37" x14ac:dyDescent="0.25">
      <c r="A45" s="16"/>
      <c r="B45" s="2"/>
      <c r="C45" s="8">
        <v>12</v>
      </c>
      <c r="D45" s="11">
        <v>3</v>
      </c>
      <c r="E45" s="18"/>
      <c r="F45" s="18"/>
      <c r="G45" s="18"/>
      <c r="H45" s="18"/>
      <c r="I45" s="18"/>
      <c r="J45" s="18"/>
      <c r="K45" s="10"/>
      <c r="L45" s="10"/>
      <c r="M45" s="10"/>
      <c r="N45" s="10"/>
      <c r="O45" s="10"/>
      <c r="P45" s="18"/>
      <c r="Q45" s="18"/>
      <c r="R45" s="10"/>
      <c r="S45" s="10"/>
      <c r="T45" s="10"/>
      <c r="U45" s="10"/>
      <c r="V45" s="10"/>
      <c r="W45" s="18"/>
      <c r="X45" s="18"/>
      <c r="Y45" s="10"/>
      <c r="Z45" s="10"/>
      <c r="AA45" s="10"/>
      <c r="AB45" s="10"/>
      <c r="AC45" s="10"/>
      <c r="AD45" s="18"/>
      <c r="AE45" s="18"/>
      <c r="AF45" s="18"/>
      <c r="AG45" s="18"/>
      <c r="AH45" s="18"/>
      <c r="AI45" s="19"/>
      <c r="AJ45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45" s="29" t="str">
        <f ca="1">IF(Декабрь[[#This Row],[УСЛУГ]]&lt;&gt;"",Декабрь[[#This Row],[УСЛУГ]]*Декабрь[[#This Row],[Периодичность]],"")</f>
        <v/>
      </c>
    </row>
    <row r="46" spans="1:37" ht="18.75" x14ac:dyDescent="0.25">
      <c r="A46" s="16" t="s">
        <v>16</v>
      </c>
      <c r="B46" s="2" t="s">
        <v>59</v>
      </c>
      <c r="C46" s="8">
        <v>15</v>
      </c>
      <c r="D46" s="11">
        <v>1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20"/>
      <c r="AJ46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46" s="29">
        <f ca="1">IF(Декабрь[[#This Row],[УСЛУГ]]&lt;&gt;"",Декабрь[[#This Row],[УСЛУГ]]*Декабрь[[#This Row],[Периодичность]],"")</f>
        <v>0</v>
      </c>
    </row>
    <row r="47" spans="1:37" ht="18.75" x14ac:dyDescent="0.25">
      <c r="A47" s="16"/>
      <c r="B47" s="2"/>
      <c r="C47" s="8">
        <v>15</v>
      </c>
      <c r="D47" s="11">
        <v>2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20"/>
      <c r="AJ47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47" s="29" t="str">
        <f ca="1">IF(Декабрь[[#This Row],[УСЛУГ]]&lt;&gt;"",Декабрь[[#This Row],[УСЛУГ]]*Декабрь[[#This Row],[Периодичность]],"")</f>
        <v/>
      </c>
    </row>
    <row r="48" spans="1:37" ht="18.75" x14ac:dyDescent="0.25">
      <c r="A48" s="16"/>
      <c r="B48" s="2"/>
      <c r="C48" s="8">
        <v>15</v>
      </c>
      <c r="D48" s="11">
        <v>3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20"/>
      <c r="AJ48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48" s="29" t="str">
        <f ca="1">IF(Декабрь[[#This Row],[УСЛУГ]]&lt;&gt;"",Декабрь[[#This Row],[УСЛУГ]]*Декабрь[[#This Row],[Периодичность]],"")</f>
        <v/>
      </c>
    </row>
    <row r="49" spans="1:37" ht="31.5" x14ac:dyDescent="0.25">
      <c r="A49" s="16" t="s">
        <v>25</v>
      </c>
      <c r="B49" s="2" t="s">
        <v>59</v>
      </c>
      <c r="C49" s="8">
        <v>10</v>
      </c>
      <c r="D49" s="11">
        <v>1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49" s="29">
        <f ca="1">IF(Декабрь[[#This Row],[УСЛУГ]]&lt;&gt;"",Декабрь[[#This Row],[УСЛУГ]]*Декабрь[[#This Row],[Периодичность]],"")</f>
        <v>0</v>
      </c>
    </row>
    <row r="50" spans="1:37" x14ac:dyDescent="0.25">
      <c r="A50" s="16"/>
      <c r="B50" s="2"/>
      <c r="C50" s="8">
        <v>10</v>
      </c>
      <c r="D50" s="11">
        <v>2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50" s="29" t="str">
        <f ca="1">IF(Декабрь[[#This Row],[УСЛУГ]]&lt;&gt;"",Декабрь[[#This Row],[УСЛУГ]]*Декабрь[[#This Row],[Периодичность]],"")</f>
        <v/>
      </c>
    </row>
    <row r="51" spans="1:37" ht="18.75" x14ac:dyDescent="0.25">
      <c r="A51" s="16"/>
      <c r="B51" s="2"/>
      <c r="C51" s="8">
        <v>10</v>
      </c>
      <c r="D51" s="11">
        <v>3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20"/>
      <c r="AJ51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51" s="29" t="str">
        <f ca="1">IF(Декабрь[[#This Row],[УСЛУГ]]&lt;&gt;"",Декабрь[[#This Row],[УСЛУГ]]*Декабрь[[#This Row],[Периодичность]],"")</f>
        <v/>
      </c>
    </row>
    <row r="52" spans="1:37" ht="31.5" x14ac:dyDescent="0.25">
      <c r="A52" s="16" t="s">
        <v>27</v>
      </c>
      <c r="B52" s="2" t="s">
        <v>59</v>
      </c>
      <c r="C52" s="8">
        <v>15</v>
      </c>
      <c r="D52" s="11">
        <v>1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20"/>
      <c r="AJ52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52" s="29">
        <f ca="1">IF(Декабрь[[#This Row],[УСЛУГ]]&lt;&gt;"",Декабрь[[#This Row],[УСЛУГ]]*Декабрь[[#This Row],[Периодичность]],"")</f>
        <v>0</v>
      </c>
    </row>
    <row r="53" spans="1:37" ht="18.75" x14ac:dyDescent="0.25">
      <c r="A53" s="16"/>
      <c r="B53" s="2"/>
      <c r="C53" s="8">
        <v>15</v>
      </c>
      <c r="D53" s="11">
        <v>2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20"/>
      <c r="AJ53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53" s="29" t="str">
        <f ca="1">IF(Декабрь[[#This Row],[УСЛУГ]]&lt;&gt;"",Декабрь[[#This Row],[УСЛУГ]]*Декабрь[[#This Row],[Периодичность]],"")</f>
        <v/>
      </c>
    </row>
    <row r="54" spans="1:37" ht="18.75" x14ac:dyDescent="0.25">
      <c r="A54" s="16"/>
      <c r="B54" s="2"/>
      <c r="C54" s="8">
        <v>15</v>
      </c>
      <c r="D54" s="11">
        <v>3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20"/>
      <c r="AJ54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54" s="29" t="str">
        <f ca="1">IF(Декабрь[[#This Row],[УСЛУГ]]&lt;&gt;"",Декабрь[[#This Row],[УСЛУГ]]*Декабрь[[#This Row],[Периодичность]],"")</f>
        <v/>
      </c>
    </row>
    <row r="55" spans="1:37" ht="31.5" x14ac:dyDescent="0.25">
      <c r="A55" s="16" t="s">
        <v>29</v>
      </c>
      <c r="B55" s="2" t="s">
        <v>61</v>
      </c>
      <c r="C55" s="8">
        <v>15</v>
      </c>
      <c r="D55" s="11">
        <v>1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20"/>
      <c r="AJ55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55" s="29">
        <f ca="1">IF(Декабрь[[#This Row],[УСЛУГ]]&lt;&gt;"",Декабрь[[#This Row],[УСЛУГ]]*Декабрь[[#This Row],[Периодичность]],"")</f>
        <v>0</v>
      </c>
    </row>
    <row r="56" spans="1:37" ht="18.75" x14ac:dyDescent="0.25">
      <c r="A56" s="16"/>
      <c r="B56" s="2"/>
      <c r="C56" s="8">
        <v>15</v>
      </c>
      <c r="D56" s="11">
        <v>2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20"/>
      <c r="AJ56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56" s="29" t="str">
        <f ca="1">IF(Декабрь[[#This Row],[УСЛУГ]]&lt;&gt;"",Декабрь[[#This Row],[УСЛУГ]]*Декабрь[[#This Row],[Периодичность]],"")</f>
        <v/>
      </c>
    </row>
    <row r="57" spans="1:37" ht="18.75" x14ac:dyDescent="0.25">
      <c r="A57" s="16"/>
      <c r="B57" s="2"/>
      <c r="C57" s="8">
        <v>15</v>
      </c>
      <c r="D57" s="11">
        <v>3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20"/>
      <c r="AJ57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57" s="29" t="str">
        <f ca="1">IF(Декабрь[[#This Row],[УСЛУГ]]&lt;&gt;"",Декабрь[[#This Row],[УСЛУГ]]*Декабрь[[#This Row],[Периодичность]],"")</f>
        <v/>
      </c>
    </row>
    <row r="58" spans="1:37" ht="47.25" x14ac:dyDescent="0.25">
      <c r="A58" s="16" t="s">
        <v>83</v>
      </c>
      <c r="B58" s="2" t="s">
        <v>58</v>
      </c>
      <c r="C58" s="8">
        <v>10</v>
      </c>
      <c r="D58" s="11">
        <v>1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20"/>
      <c r="AJ58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58" s="29">
        <f ca="1">IF(Декабрь[[#This Row],[УСЛУГ]]&lt;&gt;"",Декабрь[[#This Row],[УСЛУГ]]*Декабрь[[#This Row],[Периодичность]],"")</f>
        <v>0</v>
      </c>
    </row>
    <row r="59" spans="1:37" ht="18.75" x14ac:dyDescent="0.25">
      <c r="A59" s="16"/>
      <c r="B59" s="2"/>
      <c r="C59" s="8">
        <v>10</v>
      </c>
      <c r="D59" s="11">
        <v>2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20"/>
      <c r="AJ59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59" s="29" t="str">
        <f ca="1">IF(Декабрь[[#This Row],[УСЛУГ]]&lt;&gt;"",Декабрь[[#This Row],[УСЛУГ]]*Декабрь[[#This Row],[Периодичность]],"")</f>
        <v/>
      </c>
    </row>
    <row r="60" spans="1:37" ht="18.75" x14ac:dyDescent="0.25">
      <c r="A60" s="16"/>
      <c r="B60" s="2"/>
      <c r="C60" s="8">
        <v>10</v>
      </c>
      <c r="D60" s="11">
        <v>3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20"/>
      <c r="AJ60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60" s="29" t="str">
        <f ca="1">IF(Декабрь[[#This Row],[УСЛУГ]]&lt;&gt;"",Декабрь[[#This Row],[УСЛУГ]]*Декабрь[[#This Row],[Периодичность]],"")</f>
        <v/>
      </c>
    </row>
    <row r="61" spans="1:37" ht="47.25" x14ac:dyDescent="0.25">
      <c r="A61" s="16" t="s">
        <v>82</v>
      </c>
      <c r="B61" s="2" t="s">
        <v>59</v>
      </c>
      <c r="C61" s="8">
        <v>10</v>
      </c>
      <c r="D61" s="11">
        <v>1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20"/>
      <c r="AJ61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61" s="29">
        <f ca="1">IF(Декабрь[[#This Row],[УСЛУГ]]&lt;&gt;"",Декабрь[[#This Row],[УСЛУГ]]*Декабрь[[#This Row],[Периодичность]],"")</f>
        <v>0</v>
      </c>
    </row>
    <row r="62" spans="1:37" ht="18.75" x14ac:dyDescent="0.25">
      <c r="A62" s="16"/>
      <c r="B62" s="2"/>
      <c r="C62" s="8">
        <v>10</v>
      </c>
      <c r="D62" s="11">
        <v>2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20"/>
      <c r="AJ62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62" s="29" t="str">
        <f ca="1">IF(Декабрь[[#This Row],[УСЛУГ]]&lt;&gt;"",Декабрь[[#This Row],[УСЛУГ]]*Декабрь[[#This Row],[Периодичность]],"")</f>
        <v/>
      </c>
    </row>
    <row r="63" spans="1:37" ht="18.75" x14ac:dyDescent="0.25">
      <c r="A63" s="16"/>
      <c r="B63" s="2"/>
      <c r="C63" s="8">
        <v>10</v>
      </c>
      <c r="D63" s="11">
        <v>3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20"/>
      <c r="AJ63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63" s="29" t="str">
        <f ca="1">IF(Декабрь[[#This Row],[УСЛУГ]]&lt;&gt;"",Декабрь[[#This Row],[УСЛУГ]]*Декабрь[[#This Row],[Периодичность]],"")</f>
        <v/>
      </c>
    </row>
    <row r="64" spans="1:37" ht="31.5" x14ac:dyDescent="0.25">
      <c r="A64" s="16" t="s">
        <v>37</v>
      </c>
      <c r="B64" s="2" t="s">
        <v>60</v>
      </c>
      <c r="C64" s="8">
        <v>5</v>
      </c>
      <c r="D64" s="11">
        <v>1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64" s="29">
        <f ca="1">IF(Декабрь[[#This Row],[УСЛУГ]]&lt;&gt;"",Декабрь[[#This Row],[УСЛУГ]]*Декабрь[[#This Row],[Периодичность]],"")</f>
        <v>0</v>
      </c>
    </row>
    <row r="65" spans="1:37" ht="18.75" x14ac:dyDescent="0.25">
      <c r="A65" s="16"/>
      <c r="B65" s="2"/>
      <c r="C65" s="8">
        <v>5</v>
      </c>
      <c r="D65" s="11">
        <v>2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20"/>
      <c r="AJ65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65" s="29" t="str">
        <f ca="1">IF(Декабрь[[#This Row],[УСЛУГ]]&lt;&gt;"",Декабрь[[#This Row],[УСЛУГ]]*Декабрь[[#This Row],[Периодичность]],"")</f>
        <v/>
      </c>
    </row>
    <row r="66" spans="1:37" x14ac:dyDescent="0.25">
      <c r="A66" s="16"/>
      <c r="B66" s="2"/>
      <c r="C66" s="8">
        <v>5</v>
      </c>
      <c r="D66" s="11">
        <v>3</v>
      </c>
      <c r="E66" s="18"/>
      <c r="F66" s="18"/>
      <c r="G66" s="18"/>
      <c r="H66" s="18"/>
      <c r="I66" s="18"/>
      <c r="J66" s="18"/>
      <c r="K66" s="10"/>
      <c r="L66" s="10"/>
      <c r="M66" s="10"/>
      <c r="N66" s="10"/>
      <c r="O66" s="10"/>
      <c r="P66" s="18"/>
      <c r="Q66" s="18"/>
      <c r="R66" s="10"/>
      <c r="S66" s="10"/>
      <c r="T66" s="10"/>
      <c r="U66" s="10"/>
      <c r="V66" s="10"/>
      <c r="W66" s="18"/>
      <c r="X66" s="18"/>
      <c r="Y66" s="10"/>
      <c r="Z66" s="10"/>
      <c r="AA66" s="10"/>
      <c r="AB66" s="10"/>
      <c r="AC66" s="10"/>
      <c r="AD66" s="18"/>
      <c r="AE66" s="18"/>
      <c r="AF66" s="18"/>
      <c r="AG66" s="18"/>
      <c r="AH66" s="18"/>
      <c r="AI66" s="19"/>
      <c r="AJ66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66" s="29" t="str">
        <f ca="1">IF(Декабрь[[#This Row],[УСЛУГ]]&lt;&gt;"",Декабрь[[#This Row],[УСЛУГ]]*Декабрь[[#This Row],[Периодичность]],"")</f>
        <v/>
      </c>
    </row>
    <row r="67" spans="1:37" ht="18.75" x14ac:dyDescent="0.25">
      <c r="A67" s="16" t="s">
        <v>38</v>
      </c>
      <c r="B67" s="2" t="s">
        <v>59</v>
      </c>
      <c r="C67" s="8">
        <v>7</v>
      </c>
      <c r="D67" s="11">
        <v>1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20"/>
      <c r="AJ67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67" s="29">
        <f ca="1">IF(Декабрь[[#This Row],[УСЛУГ]]&lt;&gt;"",Декабрь[[#This Row],[УСЛУГ]]*Декабрь[[#This Row],[Периодичность]],"")</f>
        <v>0</v>
      </c>
    </row>
    <row r="68" spans="1:37" ht="18.75" x14ac:dyDescent="0.25">
      <c r="A68" s="16"/>
      <c r="B68" s="2"/>
      <c r="C68" s="8">
        <v>7</v>
      </c>
      <c r="D68" s="11">
        <v>2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20"/>
      <c r="AJ68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68" s="29" t="str">
        <f ca="1">IF(Декабрь[[#This Row],[УСЛУГ]]&lt;&gt;"",Декабрь[[#This Row],[УСЛУГ]]*Декабрь[[#This Row],[Периодичность]],"")</f>
        <v/>
      </c>
    </row>
    <row r="69" spans="1:37" ht="18.75" x14ac:dyDescent="0.25">
      <c r="A69" s="16"/>
      <c r="B69" s="2"/>
      <c r="C69" s="8">
        <v>7</v>
      </c>
      <c r="D69" s="11">
        <v>3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20"/>
      <c r="AJ69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69" s="29" t="str">
        <f ca="1">IF(Декабрь[[#This Row],[УСЛУГ]]&lt;&gt;"",Декабрь[[#This Row],[УСЛУГ]]*Декабрь[[#This Row],[Периодичность]],"")</f>
        <v/>
      </c>
    </row>
    <row r="70" spans="1:37" ht="47.25" x14ac:dyDescent="0.25">
      <c r="A70" s="16" t="s">
        <v>81</v>
      </c>
      <c r="B70" s="2" t="s">
        <v>59</v>
      </c>
      <c r="C70" s="8">
        <v>5</v>
      </c>
      <c r="D70" s="11">
        <v>1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20"/>
      <c r="AJ70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70" s="29">
        <f ca="1">IF(Декабрь[[#This Row],[УСЛУГ]]&lt;&gt;"",Декабрь[[#This Row],[УСЛУГ]]*Декабрь[[#This Row],[Периодичность]],"")</f>
        <v>0</v>
      </c>
    </row>
    <row r="71" spans="1:37" ht="18.75" x14ac:dyDescent="0.25">
      <c r="A71" s="16"/>
      <c r="B71" s="2"/>
      <c r="C71" s="8">
        <v>5</v>
      </c>
      <c r="D71" s="11">
        <v>2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20"/>
      <c r="AJ71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71" s="29" t="str">
        <f ca="1">IF(Декабрь[[#This Row],[УСЛУГ]]&lt;&gt;"",Декабрь[[#This Row],[УСЛУГ]]*Декабрь[[#This Row],[Периодичность]],"")</f>
        <v/>
      </c>
    </row>
    <row r="72" spans="1:37" ht="18.75" x14ac:dyDescent="0.25">
      <c r="A72" s="16"/>
      <c r="B72" s="2"/>
      <c r="C72" s="8">
        <v>5</v>
      </c>
      <c r="D72" s="11">
        <v>3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20"/>
      <c r="AJ72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72" s="29" t="str">
        <f ca="1">IF(Декабрь[[#This Row],[УСЛУГ]]&lt;&gt;"",Декабрь[[#This Row],[УСЛУГ]]*Декабрь[[#This Row],[Периодичность]],"")</f>
        <v/>
      </c>
    </row>
    <row r="73" spans="1:37" ht="47.25" x14ac:dyDescent="0.25">
      <c r="A73" s="16" t="s">
        <v>80</v>
      </c>
      <c r="B73" s="2" t="s">
        <v>59</v>
      </c>
      <c r="C73" s="8">
        <v>5</v>
      </c>
      <c r="D73" s="11">
        <v>1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20"/>
      <c r="AJ73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73" s="29">
        <f ca="1">IF(Декабрь[[#This Row],[УСЛУГ]]&lt;&gt;"",Декабрь[[#This Row],[УСЛУГ]]*Декабрь[[#This Row],[Периодичность]],"")</f>
        <v>0</v>
      </c>
    </row>
    <row r="74" spans="1:37" ht="18.75" x14ac:dyDescent="0.25">
      <c r="A74" s="16"/>
      <c r="B74" s="2"/>
      <c r="C74" s="8">
        <v>5</v>
      </c>
      <c r="D74" s="11">
        <v>2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20"/>
      <c r="AJ74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74" s="29" t="str">
        <f ca="1">IF(Декабрь[[#This Row],[УСЛУГ]]&lt;&gt;"",Декабрь[[#This Row],[УСЛУГ]]*Декабрь[[#This Row],[Периодичность]],"")</f>
        <v/>
      </c>
    </row>
    <row r="75" spans="1:37" ht="18.75" x14ac:dyDescent="0.25">
      <c r="A75" s="16"/>
      <c r="B75" s="2"/>
      <c r="C75" s="8">
        <v>5</v>
      </c>
      <c r="D75" s="11">
        <v>3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20"/>
      <c r="AJ75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75" s="29" t="str">
        <f ca="1">IF(Декабрь[[#This Row],[УСЛУГ]]&lt;&gt;"",Декабрь[[#This Row],[УСЛУГ]]*Декабрь[[#This Row],[Периодичность]],"")</f>
        <v/>
      </c>
    </row>
    <row r="76" spans="1:37" ht="47.25" x14ac:dyDescent="0.25">
      <c r="A76" s="16" t="s">
        <v>79</v>
      </c>
      <c r="B76" s="2" t="s">
        <v>57</v>
      </c>
      <c r="C76" s="8">
        <v>45</v>
      </c>
      <c r="D76" s="11">
        <v>1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20"/>
      <c r="AJ76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76" s="29">
        <f ca="1">IF(Декабрь[[#This Row],[УСЛУГ]]&lt;&gt;"",Декабрь[[#This Row],[УСЛУГ]]*Декабрь[[#This Row],[Периодичность]],"")</f>
        <v>0</v>
      </c>
    </row>
    <row r="77" spans="1:37" ht="18.75" x14ac:dyDescent="0.25">
      <c r="A77" s="16"/>
      <c r="B77" s="2"/>
      <c r="C77" s="8">
        <v>45</v>
      </c>
      <c r="D77" s="11">
        <v>2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20"/>
      <c r="AJ77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77" s="29" t="str">
        <f ca="1">IF(Декабрь[[#This Row],[УСЛУГ]]&lt;&gt;"",Декабрь[[#This Row],[УСЛУГ]]*Декабрь[[#This Row],[Периодичность]],"")</f>
        <v/>
      </c>
    </row>
    <row r="78" spans="1:37" x14ac:dyDescent="0.25">
      <c r="A78" s="16"/>
      <c r="B78" s="2"/>
      <c r="C78" s="8">
        <v>45</v>
      </c>
      <c r="D78" s="11">
        <v>3</v>
      </c>
      <c r="E78" s="18"/>
      <c r="F78" s="18"/>
      <c r="G78" s="18"/>
      <c r="H78" s="18"/>
      <c r="I78" s="18"/>
      <c r="J78" s="18"/>
      <c r="K78" s="10"/>
      <c r="L78" s="10"/>
      <c r="M78" s="10"/>
      <c r="N78" s="10"/>
      <c r="O78" s="10"/>
      <c r="P78" s="18"/>
      <c r="Q78" s="18"/>
      <c r="R78" s="10"/>
      <c r="S78" s="10"/>
      <c r="T78" s="10"/>
      <c r="U78" s="10"/>
      <c r="V78" s="10"/>
      <c r="W78" s="18"/>
      <c r="X78" s="18"/>
      <c r="Y78" s="10"/>
      <c r="Z78" s="10"/>
      <c r="AA78" s="10"/>
      <c r="AB78" s="10"/>
      <c r="AC78" s="10"/>
      <c r="AD78" s="18"/>
      <c r="AE78" s="18"/>
      <c r="AF78" s="18"/>
      <c r="AG78" s="18"/>
      <c r="AH78" s="18"/>
      <c r="AI78" s="19"/>
      <c r="AJ78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78" s="29" t="str">
        <f ca="1">IF(Декабрь[[#This Row],[УСЛУГ]]&lt;&gt;"",Декабрь[[#This Row],[УСЛУГ]]*Декабрь[[#This Row],[Периодичность]],"")</f>
        <v/>
      </c>
    </row>
    <row r="79" spans="1:37" ht="47.25" x14ac:dyDescent="0.25">
      <c r="A79" s="16" t="s">
        <v>78</v>
      </c>
      <c r="B79" s="2" t="s">
        <v>59</v>
      </c>
      <c r="C79" s="8">
        <v>10</v>
      </c>
      <c r="D79" s="11">
        <v>1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79" s="29">
        <f ca="1">IF(Декабрь[[#This Row],[УСЛУГ]]&lt;&gt;"",Декабрь[[#This Row],[УСЛУГ]]*Декабрь[[#This Row],[Периодичность]],"")</f>
        <v>0</v>
      </c>
    </row>
    <row r="80" spans="1:37" ht="18.75" x14ac:dyDescent="0.25">
      <c r="A80" s="16"/>
      <c r="B80" s="2"/>
      <c r="C80" s="8">
        <v>10</v>
      </c>
      <c r="D80" s="11">
        <v>2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20"/>
      <c r="AJ80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80" s="29" t="str">
        <f ca="1">IF(Декабрь[[#This Row],[УСЛУГ]]&lt;&gt;"",Декабрь[[#This Row],[УСЛУГ]]*Декабрь[[#This Row],[Периодичность]],"")</f>
        <v/>
      </c>
    </row>
    <row r="81" spans="1:37" x14ac:dyDescent="0.25">
      <c r="A81" s="16"/>
      <c r="B81" s="2"/>
      <c r="C81" s="8">
        <v>10</v>
      </c>
      <c r="D81" s="11">
        <v>3</v>
      </c>
      <c r="E81" s="18"/>
      <c r="F81" s="18"/>
      <c r="G81" s="18"/>
      <c r="H81" s="18"/>
      <c r="I81" s="18"/>
      <c r="J81" s="18"/>
      <c r="K81" s="10"/>
      <c r="L81" s="10"/>
      <c r="M81" s="10"/>
      <c r="N81" s="10"/>
      <c r="O81" s="10"/>
      <c r="P81" s="18"/>
      <c r="Q81" s="18"/>
      <c r="R81" s="10"/>
      <c r="S81" s="10"/>
      <c r="T81" s="10"/>
      <c r="U81" s="10"/>
      <c r="V81" s="10"/>
      <c r="W81" s="18"/>
      <c r="X81" s="18"/>
      <c r="Y81" s="10"/>
      <c r="Z81" s="10"/>
      <c r="AA81" s="10"/>
      <c r="AB81" s="10"/>
      <c r="AC81" s="10"/>
      <c r="AD81" s="18"/>
      <c r="AE81" s="18"/>
      <c r="AF81" s="18"/>
      <c r="AG81" s="18"/>
      <c r="AH81" s="18"/>
      <c r="AI81" s="19"/>
      <c r="AJ81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81" s="29" t="str">
        <f ca="1">IF(Декабрь[[#This Row],[УСЛУГ]]&lt;&gt;"",Декабрь[[#This Row],[УСЛУГ]]*Декабрь[[#This Row],[Периодичность]],"")</f>
        <v/>
      </c>
    </row>
  </sheetData>
  <mergeCells count="20">
    <mergeCell ref="A2:AJ2"/>
    <mergeCell ref="A3:AJ3"/>
    <mergeCell ref="J4:L4"/>
    <mergeCell ref="M4:U4"/>
    <mergeCell ref="M5:Q5"/>
    <mergeCell ref="AJ7:AJ11"/>
    <mergeCell ref="AK7:AK11"/>
    <mergeCell ref="E10:AI11"/>
    <mergeCell ref="A19:A23"/>
    <mergeCell ref="B19:C23"/>
    <mergeCell ref="D19:D23"/>
    <mergeCell ref="E19:AI20"/>
    <mergeCell ref="AJ19:AJ23"/>
    <mergeCell ref="AK19:AK23"/>
    <mergeCell ref="E22:AI23"/>
    <mergeCell ref="A7:A11"/>
    <mergeCell ref="B7:B11"/>
    <mergeCell ref="C7:C11"/>
    <mergeCell ref="D7:D11"/>
    <mergeCell ref="E7:AI8"/>
  </mergeCells>
  <conditionalFormatting sqref="E9:AI9">
    <cfRule type="expression" dxfId="98" priority="2">
      <formula>WEEKDAY(E9:AI9,2)&gt;5</formula>
    </cfRule>
  </conditionalFormatting>
  <conditionalFormatting sqref="E21:AI21">
    <cfRule type="expression" dxfId="97" priority="1">
      <formula>WEEKDAY(E21:AI21,2)&gt;5</formula>
    </cfRule>
  </conditionalFormatting>
  <dataValidations count="2">
    <dataValidation type="list" allowBlank="1" showInputMessage="1" showErrorMessage="1" sqref="A25:A81">
      <formula1>INDIRECT("Услуги[Кратко]")</formula1>
    </dataValidation>
    <dataValidation type="list" allowBlank="1" showInputMessage="1" showErrorMessage="1" sqref="D25:D81">
      <formula1>INDIRECT("Посещения")</formula1>
    </dataValidation>
  </dataValidations>
  <pageMargins left="0.25" right="0.25" top="0.75" bottom="0.75" header="0.3" footer="0.3"/>
  <pageSetup paperSize="9" scale="52" fitToHeight="0" orientation="landscape" horizontalDpi="300" verticalDpi="300" r:id="rId1"/>
  <ignoredErrors>
    <ignoredError sqref="E13:E17 B13:B17" calculatedColumn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81"/>
  <sheetViews>
    <sheetView zoomScale="80" zoomScaleNormal="80" workbookViewId="0">
      <selection activeCell="B5" sqref="B5"/>
    </sheetView>
  </sheetViews>
  <sheetFormatPr defaultRowHeight="15.75" x14ac:dyDescent="0.25"/>
  <cols>
    <col min="1" max="1" width="21.42578125" style="3" customWidth="1"/>
    <col min="2" max="2" width="14.28515625" style="3" customWidth="1"/>
    <col min="3" max="3" width="17.7109375" style="3" customWidth="1"/>
    <col min="4" max="4" width="9.28515625" style="3" customWidth="1"/>
    <col min="5" max="5" width="6.85546875" style="3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8" ht="18.75" x14ac:dyDescent="0.25">
      <c r="A2" s="60" t="s">
        <v>72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</row>
    <row r="3" spans="1:38" ht="18.75" x14ac:dyDescent="0.25">
      <c r="A3" s="60" t="s">
        <v>73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</row>
    <row r="4" spans="1:38" ht="18.75" x14ac:dyDescent="0.25">
      <c r="I4" s="13"/>
      <c r="J4" s="61" t="s">
        <v>74</v>
      </c>
      <c r="K4" s="61"/>
      <c r="L4" s="61"/>
      <c r="M4" s="62"/>
      <c r="N4" s="54"/>
      <c r="O4" s="54"/>
      <c r="P4" s="54"/>
      <c r="Q4" s="54"/>
      <c r="R4" s="54"/>
      <c r="S4" s="54"/>
      <c r="T4" s="54"/>
      <c r="U4" s="54"/>
    </row>
    <row r="5" spans="1:38" ht="18.75" x14ac:dyDescent="0.25">
      <c r="L5" s="12" t="s">
        <v>75</v>
      </c>
      <c r="M5" s="63" t="s">
        <v>142</v>
      </c>
      <c r="N5" s="64"/>
      <c r="O5" s="64"/>
      <c r="P5" s="64"/>
      <c r="Q5" s="64"/>
      <c r="R5" s="37">
        <f>Год[Год]</f>
        <v>2023</v>
      </c>
      <c r="S5" s="38" t="s">
        <v>138</v>
      </c>
      <c r="T5" s="14"/>
      <c r="U5" s="14"/>
    </row>
    <row r="6" spans="1:38" ht="17.25" customHeight="1" x14ac:dyDescent="0.25"/>
    <row r="7" spans="1:38" ht="26.25" customHeight="1" x14ac:dyDescent="0.25">
      <c r="A7" s="49"/>
      <c r="B7" s="57" t="s">
        <v>121</v>
      </c>
      <c r="C7" s="57" t="s">
        <v>120</v>
      </c>
      <c r="D7" s="58" t="s">
        <v>67</v>
      </c>
      <c r="E7" s="43" t="s">
        <v>55</v>
      </c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5"/>
      <c r="AJ7" s="39" t="s">
        <v>70</v>
      </c>
      <c r="AK7" s="40" t="s">
        <v>70</v>
      </c>
    </row>
    <row r="8" spans="1:38" x14ac:dyDescent="0.25">
      <c r="A8" s="49"/>
      <c r="B8" s="52"/>
      <c r="C8" s="52"/>
      <c r="D8" s="59"/>
      <c r="E8" s="53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5"/>
      <c r="AJ8" s="39"/>
      <c r="AK8" s="41"/>
    </row>
    <row r="9" spans="1:38" x14ac:dyDescent="0.25">
      <c r="A9" s="49"/>
      <c r="B9" s="52"/>
      <c r="C9" s="52"/>
      <c r="D9" s="59"/>
      <c r="E9" s="23">
        <f>Настройки!E7</f>
        <v>44927</v>
      </c>
      <c r="F9" s="23">
        <f>Настройки!F7</f>
        <v>44928</v>
      </c>
      <c r="G9" s="23">
        <f>Настройки!G7</f>
        <v>44929</v>
      </c>
      <c r="H9" s="23">
        <f>Настройки!H7</f>
        <v>44930</v>
      </c>
      <c r="I9" s="23">
        <f>Настройки!I7</f>
        <v>44931</v>
      </c>
      <c r="J9" s="23">
        <f>Настройки!J7</f>
        <v>44932</v>
      </c>
      <c r="K9" s="23">
        <f>Настройки!K7</f>
        <v>44933</v>
      </c>
      <c r="L9" s="23">
        <f>Настройки!L7</f>
        <v>44934</v>
      </c>
      <c r="M9" s="23">
        <f>Настройки!M7</f>
        <v>44935</v>
      </c>
      <c r="N9" s="23">
        <f>Настройки!N7</f>
        <v>44936</v>
      </c>
      <c r="O9" s="23">
        <f>Настройки!O7</f>
        <v>44937</v>
      </c>
      <c r="P9" s="23">
        <f>Настройки!P7</f>
        <v>44938</v>
      </c>
      <c r="Q9" s="23">
        <f>Настройки!Q7</f>
        <v>44939</v>
      </c>
      <c r="R9" s="23">
        <f>Настройки!R7</f>
        <v>44940</v>
      </c>
      <c r="S9" s="23">
        <f>Настройки!S7</f>
        <v>44941</v>
      </c>
      <c r="T9" s="23">
        <f>Настройки!T7</f>
        <v>44942</v>
      </c>
      <c r="U9" s="23">
        <f>Настройки!U7</f>
        <v>44943</v>
      </c>
      <c r="V9" s="23">
        <f>Настройки!V7</f>
        <v>44944</v>
      </c>
      <c r="W9" s="23">
        <f>Настройки!W7</f>
        <v>44945</v>
      </c>
      <c r="X9" s="23">
        <f>Настройки!X7</f>
        <v>44946</v>
      </c>
      <c r="Y9" s="23">
        <f>Настройки!Y7</f>
        <v>44947</v>
      </c>
      <c r="Z9" s="23">
        <f>Настройки!Z7</f>
        <v>44948</v>
      </c>
      <c r="AA9" s="23">
        <f>Настройки!AA7</f>
        <v>44949</v>
      </c>
      <c r="AB9" s="23">
        <f>Настройки!AB7</f>
        <v>44950</v>
      </c>
      <c r="AC9" s="23">
        <f>Настройки!AC7</f>
        <v>44951</v>
      </c>
      <c r="AD9" s="23">
        <f>Настройки!AD7</f>
        <v>44952</v>
      </c>
      <c r="AE9" s="23">
        <f>Настройки!AE7</f>
        <v>44953</v>
      </c>
      <c r="AF9" s="23">
        <f>Настройки!AF7</f>
        <v>44954</v>
      </c>
      <c r="AG9" s="23">
        <f>Настройки!AG7</f>
        <v>44955</v>
      </c>
      <c r="AH9" s="23">
        <f>Настройки!AH7</f>
        <v>44956</v>
      </c>
      <c r="AI9" s="23">
        <f>Настройки!AI7</f>
        <v>44957</v>
      </c>
      <c r="AJ9" s="39"/>
      <c r="AK9" s="41"/>
    </row>
    <row r="10" spans="1:38" x14ac:dyDescent="0.25">
      <c r="A10" s="49"/>
      <c r="B10" s="52"/>
      <c r="C10" s="52"/>
      <c r="D10" s="59"/>
      <c r="E10" s="43" t="s">
        <v>54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5"/>
      <c r="AJ10" s="39"/>
      <c r="AK10" s="41"/>
    </row>
    <row r="11" spans="1:38" x14ac:dyDescent="0.25">
      <c r="A11" s="57"/>
      <c r="B11" s="52"/>
      <c r="C11" s="52"/>
      <c r="D11" s="59"/>
      <c r="E11" s="46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8"/>
      <c r="AJ11" s="39"/>
      <c r="AK11" s="42"/>
    </row>
    <row r="12" spans="1:38" ht="22.5" customHeight="1" x14ac:dyDescent="0.25">
      <c r="A12" s="3" t="s">
        <v>88</v>
      </c>
      <c r="B12" s="3" t="s">
        <v>87</v>
      </c>
      <c r="C12" s="3" t="s">
        <v>119</v>
      </c>
      <c r="D12" s="9" t="s">
        <v>66</v>
      </c>
      <c r="E12" s="3" t="s">
        <v>89</v>
      </c>
      <c r="F12" s="3" t="s">
        <v>90</v>
      </c>
      <c r="G12" s="3" t="s">
        <v>91</v>
      </c>
      <c r="H12" s="3" t="s">
        <v>92</v>
      </c>
      <c r="I12" s="3" t="s">
        <v>93</v>
      </c>
      <c r="J12" s="3" t="s">
        <v>94</v>
      </c>
      <c r="K12" s="3" t="s">
        <v>95</v>
      </c>
      <c r="L12" s="3" t="s">
        <v>96</v>
      </c>
      <c r="M12" s="3" t="s">
        <v>97</v>
      </c>
      <c r="N12" s="3" t="s">
        <v>98</v>
      </c>
      <c r="O12" s="3" t="s">
        <v>99</v>
      </c>
      <c r="P12" s="3" t="s">
        <v>100</v>
      </c>
      <c r="Q12" s="3" t="s">
        <v>101</v>
      </c>
      <c r="R12" s="3" t="s">
        <v>102</v>
      </c>
      <c r="S12" s="3" t="s">
        <v>103</v>
      </c>
      <c r="T12" s="3" t="s">
        <v>104</v>
      </c>
      <c r="U12" s="3" t="s">
        <v>105</v>
      </c>
      <c r="V12" s="3" t="s">
        <v>106</v>
      </c>
      <c r="W12" s="3" t="s">
        <v>107</v>
      </c>
      <c r="X12" s="3" t="s">
        <v>108</v>
      </c>
      <c r="Y12" s="3" t="s">
        <v>109</v>
      </c>
      <c r="Z12" s="3" t="s">
        <v>110</v>
      </c>
      <c r="AA12" s="3" t="s">
        <v>111</v>
      </c>
      <c r="AB12" s="3" t="s">
        <v>112</v>
      </c>
      <c r="AC12" s="3" t="s">
        <v>113</v>
      </c>
      <c r="AD12" s="3" t="s">
        <v>114</v>
      </c>
      <c r="AE12" s="3" t="s">
        <v>115</v>
      </c>
      <c r="AF12" s="3" t="s">
        <v>116</v>
      </c>
      <c r="AG12" s="3" t="s">
        <v>117</v>
      </c>
      <c r="AH12" s="3" t="s">
        <v>118</v>
      </c>
      <c r="AI12" s="3" t="s">
        <v>127</v>
      </c>
      <c r="AJ12" s="3" t="s">
        <v>68</v>
      </c>
      <c r="AK12" s="3" t="s">
        <v>69</v>
      </c>
      <c r="AL12" s="4"/>
    </row>
    <row r="13" spans="1:38" x14ac:dyDescent="0.25">
      <c r="A13" s="5" t="s">
        <v>62</v>
      </c>
      <c r="B13" s="3">
        <f>SUMPRODUCT((Настройки!$E$21:$AI$21=1)*E16:AI16)</f>
        <v>0</v>
      </c>
      <c r="D13" s="5">
        <v>1</v>
      </c>
      <c r="E13" s="30">
        <f>SUMPRODUCT((Январь[№]=1)*Январь[1],Январь[Периодичность])</f>
        <v>0</v>
      </c>
      <c r="F13" s="30">
        <f>SUMPRODUCT((Январь[№]=1)*Январь[2],Январь[Периодичность])</f>
        <v>0</v>
      </c>
      <c r="G13" s="30">
        <f>SUMPRODUCT((Январь[№]=1)*Январь[3],Январь[Периодичность])</f>
        <v>0</v>
      </c>
      <c r="H13" s="30">
        <f>SUMPRODUCT((Январь[№]=1)*Январь[4],Январь[Периодичность])</f>
        <v>0</v>
      </c>
      <c r="I13" s="30">
        <f>SUMPRODUCT((Январь[№]=1)*Январь[5],Январь[Периодичность])</f>
        <v>0</v>
      </c>
      <c r="J13" s="30">
        <f>SUMPRODUCT((Январь[№]=1)*Январь[6],Январь[Периодичность])</f>
        <v>0</v>
      </c>
      <c r="K13" s="30">
        <f>SUMPRODUCT((Январь[№]=1)*Январь[7],Январь[Периодичность])</f>
        <v>0</v>
      </c>
      <c r="L13" s="30">
        <f>SUMPRODUCT((Январь[№]=1)*Январь[8],Январь[Периодичность])</f>
        <v>0</v>
      </c>
      <c r="M13" s="30">
        <f>SUMPRODUCT((Январь[№]=1)*Январь[9],Январь[Периодичность])</f>
        <v>0</v>
      </c>
      <c r="N13" s="30">
        <f>SUMPRODUCT((Январь[№]=1)*Январь[10],Январь[Периодичность])</f>
        <v>0</v>
      </c>
      <c r="O13" s="30">
        <f>SUMPRODUCT((Январь[№]=1)*Январь[11],Январь[Периодичность])</f>
        <v>0</v>
      </c>
      <c r="P13" s="30">
        <f>SUMPRODUCT((Январь[№]=1)*Январь[12],Январь[Периодичность])</f>
        <v>0</v>
      </c>
      <c r="Q13" s="30">
        <f>SUMPRODUCT((Январь[№]=1)*Январь[13],Январь[Периодичность])</f>
        <v>0</v>
      </c>
      <c r="R13" s="30">
        <f>SUMPRODUCT((Январь[№]=1)*Январь[14],Январь[Периодичность])</f>
        <v>0</v>
      </c>
      <c r="S13" s="30">
        <f>SUMPRODUCT((Январь[№]=1)*Январь[15],Январь[Периодичность])</f>
        <v>0</v>
      </c>
      <c r="T13" s="30">
        <f>SUMPRODUCT((Январь[№]=1)*Январь[16],Январь[Периодичность])</f>
        <v>0</v>
      </c>
      <c r="U13" s="30">
        <f>SUMPRODUCT((Январь[№]=1)*Январь[17],Январь[Периодичность])</f>
        <v>0</v>
      </c>
      <c r="V13" s="30">
        <f>SUMPRODUCT((Январь[№]=1)*Январь[18],Январь[Периодичность])</f>
        <v>0</v>
      </c>
      <c r="W13" s="30">
        <f>SUMPRODUCT((Январь[№]=1)*Январь[19],Январь[Периодичность])</f>
        <v>0</v>
      </c>
      <c r="X13" s="30">
        <f>SUMPRODUCT((Январь[№]=1)*Январь[20],Январь[Периодичность])</f>
        <v>0</v>
      </c>
      <c r="Y13" s="30">
        <f>SUMPRODUCT((Январь[№]=1)*Январь[21],Январь[Периодичность])</f>
        <v>0</v>
      </c>
      <c r="Z13" s="30">
        <f>SUMPRODUCT((Январь[№]=1)*Январь[22],Январь[Периодичность])</f>
        <v>0</v>
      </c>
      <c r="AA13" s="30">
        <f>SUMPRODUCT((Январь[№]=1)*Январь[23],Январь[Периодичность])</f>
        <v>0</v>
      </c>
      <c r="AB13" s="30">
        <f>SUMPRODUCT((Январь[№]=1)*Январь[24],Январь[Периодичность])</f>
        <v>0</v>
      </c>
      <c r="AC13" s="30">
        <f>SUMPRODUCT((Январь[№]=1)*Январь[25],Январь[Периодичность])</f>
        <v>0</v>
      </c>
      <c r="AD13" s="30">
        <f>SUMPRODUCT((Январь[№]=1)*Январь[26],Январь[Периодичность])</f>
        <v>0</v>
      </c>
      <c r="AE13" s="30">
        <f>SUMPRODUCT((Январь[№]=1)*Январь[27],Январь[Периодичность])</f>
        <v>0</v>
      </c>
      <c r="AF13" s="30">
        <f>SUMPRODUCT((Январь[№]=1)*Январь[28],Январь[Периодичность])</f>
        <v>0</v>
      </c>
      <c r="AG13" s="30">
        <f>SUMPRODUCT((Январь[№]=1)*Январь[29],Январь[Периодичность])</f>
        <v>0</v>
      </c>
      <c r="AH13" s="30">
        <f>SUMPRODUCT((Январь[№]=1)*Январь[30],Январь[Периодичность])</f>
        <v>0</v>
      </c>
      <c r="AI13" s="30">
        <f>SUMPRODUCT((Январь[№]=1)*Январь[31],Январь[Периодичность])</f>
        <v>0</v>
      </c>
      <c r="AL13" s="4"/>
    </row>
    <row r="14" spans="1:38" x14ac:dyDescent="0.25">
      <c r="B14" s="3">
        <f>SUMPRODUCT((Настройки!$E$21:$AI$21=2)*E16:AI16)</f>
        <v>0</v>
      </c>
      <c r="D14" s="5">
        <v>2</v>
      </c>
      <c r="E14" s="30">
        <f>SUMPRODUCT((Январь[№]=2)*Январь[1],Январь[Периодичность])</f>
        <v>0</v>
      </c>
      <c r="F14" s="30">
        <f>SUMPRODUCT((Январь[№]=2)*Январь[2],Январь[Периодичность])</f>
        <v>0</v>
      </c>
      <c r="G14" s="30">
        <f>SUMPRODUCT((Январь[№]=2)*Январь[3],Январь[Периодичность])</f>
        <v>0</v>
      </c>
      <c r="H14" s="30">
        <f>SUMPRODUCT((Январь[№]=2)*Январь[4],Январь[Периодичность])</f>
        <v>0</v>
      </c>
      <c r="I14" s="30">
        <f>SUMPRODUCT((Январь[№]=2)*Январь[5],Январь[Периодичность])</f>
        <v>0</v>
      </c>
      <c r="J14" s="30">
        <f>SUMPRODUCT((Январь[№]=2)*Январь[6],Январь[Периодичность])</f>
        <v>0</v>
      </c>
      <c r="K14" s="30">
        <f>SUMPRODUCT((Январь[№]=2)*Январь[7],Январь[Периодичность])</f>
        <v>0</v>
      </c>
      <c r="L14" s="30">
        <f>SUMPRODUCT((Январь[№]=2)*Январь[8],Январь[Периодичность])</f>
        <v>0</v>
      </c>
      <c r="M14" s="30">
        <f>SUMPRODUCT((Январь[№]=2)*Январь[9],Январь[Периодичность])</f>
        <v>0</v>
      </c>
      <c r="N14" s="30">
        <f>SUMPRODUCT((Январь[№]=2)*Январь[10],Январь[Периодичность])</f>
        <v>0</v>
      </c>
      <c r="O14" s="30">
        <f>SUMPRODUCT((Январь[№]=2)*Январь[11],Январь[Периодичность])</f>
        <v>0</v>
      </c>
      <c r="P14" s="30">
        <f>SUMPRODUCT((Январь[№]=2)*Январь[12],Январь[Периодичность])</f>
        <v>0</v>
      </c>
      <c r="Q14" s="30">
        <f>SUMPRODUCT((Январь[№]=2)*Январь[13],Январь[Периодичность])</f>
        <v>0</v>
      </c>
      <c r="R14" s="30">
        <f>SUMPRODUCT((Январь[№]=2)*Январь[14],Январь[Периодичность])</f>
        <v>0</v>
      </c>
      <c r="S14" s="30">
        <f>SUMPRODUCT((Январь[№]=2)*Январь[15],Январь[Периодичность])</f>
        <v>0</v>
      </c>
      <c r="T14" s="30">
        <f>SUMPRODUCT((Январь[№]=2)*Январь[16],Январь[Периодичность])</f>
        <v>0</v>
      </c>
      <c r="U14" s="30">
        <f>SUMPRODUCT((Январь[№]=2)*Январь[17],Январь[Периодичность])</f>
        <v>0</v>
      </c>
      <c r="V14" s="30">
        <f>SUMPRODUCT((Январь[№]=2)*Январь[18],Январь[Периодичность])</f>
        <v>0</v>
      </c>
      <c r="W14" s="30">
        <f>SUMPRODUCT((Январь[№]=2)*Январь[19],Январь[Периодичность])</f>
        <v>0</v>
      </c>
      <c r="X14" s="30">
        <f>SUMPRODUCT((Январь[№]=2)*Январь[20],Январь[Периодичность])</f>
        <v>0</v>
      </c>
      <c r="Y14" s="30">
        <f>SUMPRODUCT((Январь[№]=2)*Январь[21],Январь[Периодичность])</f>
        <v>0</v>
      </c>
      <c r="Z14" s="30">
        <f>SUMPRODUCT((Январь[№]=2)*Январь[22],Январь[Периодичность])</f>
        <v>0</v>
      </c>
      <c r="AA14" s="30">
        <f>SUMPRODUCT((Январь[№]=2)*Январь[23],Январь[Периодичность])</f>
        <v>0</v>
      </c>
      <c r="AB14" s="30">
        <f>SUMPRODUCT((Январь[№]=2)*Январь[24],Январь[Периодичность])</f>
        <v>0</v>
      </c>
      <c r="AC14" s="30">
        <f>SUMPRODUCT((Январь[№]=2)*Январь[25],Январь[Периодичность])</f>
        <v>0</v>
      </c>
      <c r="AD14" s="30">
        <f>SUMPRODUCT((Январь[№]=2)*Январь[26],Январь[Периодичность])</f>
        <v>0</v>
      </c>
      <c r="AE14" s="30">
        <f>SUMPRODUCT((Январь[№]=2)*Январь[27],Январь[Периодичность])</f>
        <v>0</v>
      </c>
      <c r="AF14" s="30">
        <f>SUMPRODUCT((Январь[№]=2)*Январь[28],Январь[Периодичность])</f>
        <v>0</v>
      </c>
      <c r="AG14" s="30">
        <f>SUMPRODUCT((Январь[№]=2)*Январь[29],Январь[Периодичность])</f>
        <v>0</v>
      </c>
      <c r="AH14" s="30">
        <f>SUMPRODUCT((Январь[№]=2)*Январь[30],Январь[Периодичность])</f>
        <v>0</v>
      </c>
      <c r="AI14" s="30">
        <f>SUMPRODUCT((Январь[№]=2)*Январь[31],Январь[Периодичность])</f>
        <v>0</v>
      </c>
      <c r="AL14" s="4"/>
    </row>
    <row r="15" spans="1:38" x14ac:dyDescent="0.25">
      <c r="B15" s="3">
        <f>SUMPRODUCT((Настройки!$E$21:$AI$21=3)*E16:AI16)</f>
        <v>0</v>
      </c>
      <c r="D15" s="5">
        <v>3</v>
      </c>
      <c r="E15" s="30">
        <f>SUMPRODUCT((Январь[№]=3)*Январь[1],Январь[Периодичность])</f>
        <v>0</v>
      </c>
      <c r="F15" s="30">
        <f>SUMPRODUCT((Январь[№]=3)*Январь[2],Январь[Периодичность])</f>
        <v>0</v>
      </c>
      <c r="G15" s="30">
        <f>SUMPRODUCT((Январь[№]=3)*Январь[3],Январь[Периодичность])</f>
        <v>0</v>
      </c>
      <c r="H15" s="30">
        <f>SUMPRODUCT((Январь[№]=3)*Январь[4],Январь[Периодичность])</f>
        <v>0</v>
      </c>
      <c r="I15" s="30">
        <f>SUMPRODUCT((Январь[№]=3)*Январь[5],Январь[Периодичность])</f>
        <v>0</v>
      </c>
      <c r="J15" s="30">
        <f>SUMPRODUCT((Январь[№]=3)*Январь[6],Январь[Периодичность])</f>
        <v>0</v>
      </c>
      <c r="K15" s="30">
        <f>SUMPRODUCT((Январь[№]=3)*Январь[7],Январь[Периодичность])</f>
        <v>0</v>
      </c>
      <c r="L15" s="30">
        <f>SUMPRODUCT((Январь[№]=3)*Январь[8],Январь[Периодичность])</f>
        <v>0</v>
      </c>
      <c r="M15" s="30">
        <f>SUMPRODUCT((Январь[№]=3)*Январь[9],Январь[Периодичность])</f>
        <v>0</v>
      </c>
      <c r="N15" s="30">
        <f>SUMPRODUCT((Январь[№]=3)*Январь[10],Январь[Периодичность])</f>
        <v>0</v>
      </c>
      <c r="O15" s="30">
        <f>SUMPRODUCT((Январь[№]=3)*Январь[11],Январь[Периодичность])</f>
        <v>0</v>
      </c>
      <c r="P15" s="30">
        <f>SUMPRODUCT((Январь[№]=3)*Январь[12],Январь[Периодичность])</f>
        <v>0</v>
      </c>
      <c r="Q15" s="30">
        <f>SUMPRODUCT((Январь[№]=3)*Январь[13],Январь[Периодичность])</f>
        <v>0</v>
      </c>
      <c r="R15" s="30">
        <f>SUMPRODUCT((Январь[№]=3)*Январь[14],Январь[Периодичность])</f>
        <v>0</v>
      </c>
      <c r="S15" s="30">
        <f>SUMPRODUCT((Январь[№]=3)*Январь[15],Январь[Периодичность])</f>
        <v>0</v>
      </c>
      <c r="T15" s="30">
        <f>SUMPRODUCT((Январь[№]=3)*Январь[16],Январь[Периодичность])</f>
        <v>0</v>
      </c>
      <c r="U15" s="30">
        <f>SUMPRODUCT((Январь[№]=3)*Январь[17],Январь[Периодичность])</f>
        <v>0</v>
      </c>
      <c r="V15" s="30">
        <f>SUMPRODUCT((Январь[№]=3)*Январь[18],Январь[Периодичность])</f>
        <v>0</v>
      </c>
      <c r="W15" s="30">
        <f>SUMPRODUCT((Январь[№]=3)*Январь[19],Январь[Периодичность])</f>
        <v>0</v>
      </c>
      <c r="X15" s="30">
        <f>SUMPRODUCT((Январь[№]=3)*Январь[20],Январь[Периодичность])</f>
        <v>0</v>
      </c>
      <c r="Y15" s="30">
        <f>SUMPRODUCT((Январь[№]=3)*Январь[21],Январь[Периодичность])</f>
        <v>0</v>
      </c>
      <c r="Z15" s="30">
        <f>SUMPRODUCT((Январь[№]=3)*Январь[22],Январь[Периодичность])</f>
        <v>0</v>
      </c>
      <c r="AA15" s="30">
        <f>SUMPRODUCT((Январь[№]=3)*Январь[23],Январь[Периодичность])</f>
        <v>0</v>
      </c>
      <c r="AB15" s="30">
        <f>SUMPRODUCT((Январь[№]=3)*Январь[24],Январь[Периодичность])</f>
        <v>0</v>
      </c>
      <c r="AC15" s="30">
        <f>SUMPRODUCT((Январь[№]=3)*Январь[25],Январь[Периодичность])</f>
        <v>0</v>
      </c>
      <c r="AD15" s="30">
        <f>SUMPRODUCT((Январь[№]=3)*Январь[26],Январь[Периодичность])</f>
        <v>0</v>
      </c>
      <c r="AE15" s="30">
        <f>SUMPRODUCT((Январь[№]=3)*Январь[27],Январь[Периодичность])</f>
        <v>0</v>
      </c>
      <c r="AF15" s="30">
        <f>SUMPRODUCT((Январь[№]=3)*Январь[28],Январь[Периодичность])</f>
        <v>0</v>
      </c>
      <c r="AG15" s="30">
        <f>SUMPRODUCT((Январь[№]=3)*Январь[29],Январь[Периодичность])</f>
        <v>0</v>
      </c>
      <c r="AH15" s="30">
        <f>SUMPRODUCT((Январь[№]=3)*Январь[30],Январь[Периодичность])</f>
        <v>0</v>
      </c>
      <c r="AI15" s="30">
        <f>SUMPRODUCT((Январь[№]=3)*Январь[31],Январь[Периодичность])</f>
        <v>0</v>
      </c>
      <c r="AK15" s="11"/>
    </row>
    <row r="16" spans="1:38" ht="22.5" customHeight="1" x14ac:dyDescent="0.25">
      <c r="B16" s="3">
        <f>SUMPRODUCT((Настройки!$E$21:$AI$21=4)*E16:AI16)</f>
        <v>0</v>
      </c>
      <c r="D16" s="5"/>
      <c r="E16" s="30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I16" s="30">
        <f>SUM(AI13:AI15)</f>
        <v>0</v>
      </c>
      <c r="AK16" s="11"/>
    </row>
    <row r="17" spans="1:37" ht="22.5" customHeight="1" x14ac:dyDescent="0.25">
      <c r="B17" s="3">
        <f>SUMPRODUCT((Настройки!$E$21:$AI$21=5)*E16:AI16)</f>
        <v>0</v>
      </c>
      <c r="C17" s="5">
        <f>ЯнварьИтоги[[#This Row],[№]]*60</f>
        <v>0</v>
      </c>
      <c r="D17" s="7">
        <f>SUM(ЯнварьИтоги[[#This Row],[1]:[31]])</f>
        <v>0</v>
      </c>
      <c r="E17" s="31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31">
        <f>AI16/60</f>
        <v>0</v>
      </c>
      <c r="AJ17" s="3">
        <f ca="1">SUM(Январь[УСЛУГ])</f>
        <v>0</v>
      </c>
      <c r="AK17" s="11">
        <f ca="1">SUM(Январь[МИНУТ])</f>
        <v>0</v>
      </c>
    </row>
    <row r="18" spans="1:37" ht="20.25" customHeight="1" x14ac:dyDescent="0.25"/>
    <row r="19" spans="1:37" ht="22.5" customHeight="1" x14ac:dyDescent="0.25">
      <c r="A19" s="49" t="s">
        <v>52</v>
      </c>
      <c r="B19" s="49" t="s">
        <v>53</v>
      </c>
      <c r="C19" s="50"/>
      <c r="D19" s="51" t="s">
        <v>67</v>
      </c>
      <c r="E19" s="43" t="s">
        <v>55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5"/>
      <c r="AJ19" s="39" t="s">
        <v>70</v>
      </c>
      <c r="AK19" s="40" t="s">
        <v>70</v>
      </c>
    </row>
    <row r="20" spans="1:37" ht="18" customHeight="1" x14ac:dyDescent="0.25">
      <c r="A20" s="49"/>
      <c r="B20" s="49"/>
      <c r="C20" s="50"/>
      <c r="D20" s="52"/>
      <c r="E20" s="53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5"/>
      <c r="AJ20" s="39"/>
      <c r="AK20" s="41"/>
    </row>
    <row r="21" spans="1:37" ht="21.75" customHeight="1" x14ac:dyDescent="0.25">
      <c r="A21" s="49"/>
      <c r="B21" s="49"/>
      <c r="C21" s="50"/>
      <c r="D21" s="52"/>
      <c r="E21" s="26">
        <f>Настройки!E7</f>
        <v>44927</v>
      </c>
      <c r="F21" s="26">
        <f>Настройки!F7</f>
        <v>44928</v>
      </c>
      <c r="G21" s="26">
        <f>Настройки!G7</f>
        <v>44929</v>
      </c>
      <c r="H21" s="26">
        <f>Настройки!H7</f>
        <v>44930</v>
      </c>
      <c r="I21" s="26">
        <f>Настройки!I7</f>
        <v>44931</v>
      </c>
      <c r="J21" s="26">
        <f>Настройки!J7</f>
        <v>44932</v>
      </c>
      <c r="K21" s="26">
        <f>Настройки!K7</f>
        <v>44933</v>
      </c>
      <c r="L21" s="26">
        <f>Настройки!L7</f>
        <v>44934</v>
      </c>
      <c r="M21" s="26">
        <f>Настройки!M7</f>
        <v>44935</v>
      </c>
      <c r="N21" s="26">
        <f>Настройки!N7</f>
        <v>44936</v>
      </c>
      <c r="O21" s="26">
        <f>Настройки!O7</f>
        <v>44937</v>
      </c>
      <c r="P21" s="26">
        <f>Настройки!P7</f>
        <v>44938</v>
      </c>
      <c r="Q21" s="26">
        <f>Настройки!Q7</f>
        <v>44939</v>
      </c>
      <c r="R21" s="26">
        <f>Настройки!R7</f>
        <v>44940</v>
      </c>
      <c r="S21" s="26">
        <f>Настройки!S7</f>
        <v>44941</v>
      </c>
      <c r="T21" s="26">
        <f>Настройки!T7</f>
        <v>44942</v>
      </c>
      <c r="U21" s="26">
        <f>Настройки!U7</f>
        <v>44943</v>
      </c>
      <c r="V21" s="26">
        <f>Настройки!V7</f>
        <v>44944</v>
      </c>
      <c r="W21" s="26">
        <f>Настройки!W7</f>
        <v>44945</v>
      </c>
      <c r="X21" s="26">
        <f>Настройки!X7</f>
        <v>44946</v>
      </c>
      <c r="Y21" s="26">
        <f>Настройки!Y7</f>
        <v>44947</v>
      </c>
      <c r="Z21" s="26">
        <f>Настройки!Z7</f>
        <v>44948</v>
      </c>
      <c r="AA21" s="26">
        <f>Настройки!AA7</f>
        <v>44949</v>
      </c>
      <c r="AB21" s="26">
        <f>Настройки!AB7</f>
        <v>44950</v>
      </c>
      <c r="AC21" s="26">
        <f>Настройки!AC7</f>
        <v>44951</v>
      </c>
      <c r="AD21" s="26">
        <f>Настройки!AD7</f>
        <v>44952</v>
      </c>
      <c r="AE21" s="26">
        <f>Настройки!AE7</f>
        <v>44953</v>
      </c>
      <c r="AF21" s="26">
        <f>Настройки!AF7</f>
        <v>44954</v>
      </c>
      <c r="AG21" s="26">
        <f>Настройки!AG7</f>
        <v>44955</v>
      </c>
      <c r="AH21" s="26">
        <f>Настройки!AH7</f>
        <v>44956</v>
      </c>
      <c r="AI21" s="26">
        <f>Настройки!AI7</f>
        <v>44957</v>
      </c>
      <c r="AJ21" s="39"/>
      <c r="AK21" s="41"/>
    </row>
    <row r="22" spans="1:37" x14ac:dyDescent="0.25">
      <c r="A22" s="49"/>
      <c r="B22" s="49"/>
      <c r="C22" s="50"/>
      <c r="D22" s="52"/>
      <c r="E22" s="49" t="s">
        <v>54</v>
      </c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56"/>
      <c r="AJ22" s="39"/>
      <c r="AK22" s="41"/>
    </row>
    <row r="23" spans="1:37" x14ac:dyDescent="0.25">
      <c r="A23" s="49"/>
      <c r="B23" s="49"/>
      <c r="C23" s="50"/>
      <c r="D23" s="52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56"/>
      <c r="AJ23" s="39"/>
      <c r="AK23" s="42"/>
    </row>
    <row r="24" spans="1:37" ht="23.25" customHeight="1" x14ac:dyDescent="0.25">
      <c r="A24" s="3" t="s">
        <v>65</v>
      </c>
      <c r="B24" s="2" t="s">
        <v>63</v>
      </c>
      <c r="C24" s="3" t="s">
        <v>64</v>
      </c>
      <c r="D24" s="9" t="s">
        <v>66</v>
      </c>
      <c r="E24" s="3" t="s">
        <v>89</v>
      </c>
      <c r="F24" s="3" t="s">
        <v>90</v>
      </c>
      <c r="G24" s="3" t="s">
        <v>91</v>
      </c>
      <c r="H24" s="3" t="s">
        <v>92</v>
      </c>
      <c r="I24" s="3" t="s">
        <v>93</v>
      </c>
      <c r="J24" s="3" t="s">
        <v>94</v>
      </c>
      <c r="K24" s="3" t="s">
        <v>95</v>
      </c>
      <c r="L24" s="3" t="s">
        <v>96</v>
      </c>
      <c r="M24" s="3" t="s">
        <v>97</v>
      </c>
      <c r="N24" s="3" t="s">
        <v>98</v>
      </c>
      <c r="O24" s="3" t="s">
        <v>99</v>
      </c>
      <c r="P24" s="3" t="s">
        <v>100</v>
      </c>
      <c r="Q24" s="3" t="s">
        <v>101</v>
      </c>
      <c r="R24" s="3" t="s">
        <v>102</v>
      </c>
      <c r="S24" s="3" t="s">
        <v>103</v>
      </c>
      <c r="T24" s="3" t="s">
        <v>104</v>
      </c>
      <c r="U24" s="3" t="s">
        <v>105</v>
      </c>
      <c r="V24" s="3" t="s">
        <v>106</v>
      </c>
      <c r="W24" s="3" t="s">
        <v>107</v>
      </c>
      <c r="X24" s="3" t="s">
        <v>108</v>
      </c>
      <c r="Y24" s="3" t="s">
        <v>109</v>
      </c>
      <c r="Z24" s="3" t="s">
        <v>110</v>
      </c>
      <c r="AA24" s="3" t="s">
        <v>111</v>
      </c>
      <c r="AB24" s="3" t="s">
        <v>112</v>
      </c>
      <c r="AC24" s="3" t="s">
        <v>113</v>
      </c>
      <c r="AD24" s="3" t="s">
        <v>114</v>
      </c>
      <c r="AE24" s="3" t="s">
        <v>115</v>
      </c>
      <c r="AF24" s="3" t="s">
        <v>116</v>
      </c>
      <c r="AG24" s="3" t="s">
        <v>117</v>
      </c>
      <c r="AH24" s="3" t="s">
        <v>118</v>
      </c>
      <c r="AI24" s="3" t="s">
        <v>127</v>
      </c>
      <c r="AJ24" s="3" t="s">
        <v>68</v>
      </c>
      <c r="AK24" s="3" t="s">
        <v>69</v>
      </c>
    </row>
    <row r="25" spans="1:37" ht="31.5" x14ac:dyDescent="0.25">
      <c r="A25" s="16" t="s">
        <v>1</v>
      </c>
      <c r="B25" s="2" t="s">
        <v>56</v>
      </c>
      <c r="C25" s="8">
        <v>60</v>
      </c>
      <c r="D25" s="11">
        <v>1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5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25" s="5">
        <f ca="1">IF(Январь[[#This Row],[УСЛУГ]]&lt;&gt;"",Январь[[#This Row],[УСЛУГ]]*Январь[[#This Row],[Периодичность]],"")</f>
        <v>0</v>
      </c>
    </row>
    <row r="26" spans="1:37" x14ac:dyDescent="0.25">
      <c r="A26" s="16"/>
      <c r="B26" s="2"/>
      <c r="C26" s="8">
        <v>60</v>
      </c>
      <c r="D26" s="11">
        <v>2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5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26" s="5" t="str">
        <f ca="1">IF(Январь[[#This Row],[УСЛУГ]]&lt;&gt;"",Январь[[#This Row],[УСЛУГ]]*Январь[[#This Row],[Периодичность]],"")</f>
        <v/>
      </c>
    </row>
    <row r="27" spans="1:37" x14ac:dyDescent="0.25">
      <c r="A27" s="16"/>
      <c r="B27" s="2"/>
      <c r="C27" s="8">
        <v>60</v>
      </c>
      <c r="D27" s="11">
        <v>3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5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27" s="5" t="str">
        <f ca="1">IF(Январь[[#This Row],[УСЛУГ]]&lt;&gt;"",Январь[[#This Row],[УСЛУГ]]*Январь[[#This Row],[Периодичность]],"")</f>
        <v/>
      </c>
    </row>
    <row r="28" spans="1:37" ht="31.5" x14ac:dyDescent="0.25">
      <c r="A28" s="16" t="s">
        <v>3</v>
      </c>
      <c r="B28" s="2" t="s">
        <v>58</v>
      </c>
      <c r="C28" s="8">
        <v>10</v>
      </c>
      <c r="D28" s="11">
        <v>1</v>
      </c>
      <c r="E28" s="18"/>
      <c r="F28" s="18"/>
      <c r="G28" s="18"/>
      <c r="H28" s="18"/>
      <c r="I28" s="18"/>
      <c r="J28" s="18"/>
      <c r="K28" s="10"/>
      <c r="L28" s="10"/>
      <c r="M28" s="10"/>
      <c r="N28" s="10"/>
      <c r="O28" s="10"/>
      <c r="P28" s="18"/>
      <c r="Q28" s="18"/>
      <c r="R28" s="10"/>
      <c r="S28" s="10"/>
      <c r="T28" s="10"/>
      <c r="U28" s="10"/>
      <c r="V28" s="10"/>
      <c r="W28" s="18"/>
      <c r="X28" s="18"/>
      <c r="Y28" s="10"/>
      <c r="Z28" s="10"/>
      <c r="AA28" s="10"/>
      <c r="AB28" s="10"/>
      <c r="AC28" s="10"/>
      <c r="AD28" s="18"/>
      <c r="AE28" s="18"/>
      <c r="AF28" s="18"/>
      <c r="AG28" s="18"/>
      <c r="AH28" s="18"/>
      <c r="AI28" s="20"/>
      <c r="AJ28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28" s="29">
        <f ca="1">IF(Январь[[#This Row],[УСЛУГ]]&lt;&gt;"",Январь[[#This Row],[УСЛУГ]]*Январь[[#This Row],[Периодичность]],"")</f>
        <v>0</v>
      </c>
    </row>
    <row r="29" spans="1:37" ht="18.75" x14ac:dyDescent="0.25">
      <c r="A29" s="16"/>
      <c r="B29" s="2"/>
      <c r="C29" s="8">
        <v>10</v>
      </c>
      <c r="D29" s="11">
        <v>2</v>
      </c>
      <c r="E29" s="18"/>
      <c r="F29" s="18"/>
      <c r="G29" s="18"/>
      <c r="H29" s="18"/>
      <c r="I29" s="18"/>
      <c r="J29" s="18"/>
      <c r="K29" s="10"/>
      <c r="L29" s="10"/>
      <c r="M29" s="10"/>
      <c r="N29" s="10"/>
      <c r="O29" s="10"/>
      <c r="P29" s="18"/>
      <c r="Q29" s="18"/>
      <c r="R29" s="10"/>
      <c r="S29" s="10"/>
      <c r="T29" s="10"/>
      <c r="U29" s="10"/>
      <c r="V29" s="10"/>
      <c r="W29" s="18"/>
      <c r="X29" s="18"/>
      <c r="Y29" s="10"/>
      <c r="Z29" s="10"/>
      <c r="AA29" s="10"/>
      <c r="AB29" s="10"/>
      <c r="AC29" s="10"/>
      <c r="AD29" s="18"/>
      <c r="AE29" s="18"/>
      <c r="AF29" s="18"/>
      <c r="AG29" s="18"/>
      <c r="AH29" s="18"/>
      <c r="AI29" s="20"/>
      <c r="AJ29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29" s="29" t="str">
        <f ca="1">IF(Январь[[#This Row],[УСЛУГ]]&lt;&gt;"",Январь[[#This Row],[УСЛУГ]]*Январь[[#This Row],[Периодичность]],"")</f>
        <v/>
      </c>
    </row>
    <row r="30" spans="1:37" x14ac:dyDescent="0.25">
      <c r="A30" s="16"/>
      <c r="B30" s="2"/>
      <c r="C30" s="8">
        <v>10</v>
      </c>
      <c r="D30" s="11">
        <v>3</v>
      </c>
      <c r="E30" s="18"/>
      <c r="F30" s="18"/>
      <c r="G30" s="18"/>
      <c r="H30" s="18"/>
      <c r="I30" s="18"/>
      <c r="J30" s="18"/>
      <c r="K30" s="10"/>
      <c r="L30" s="10"/>
      <c r="M30" s="10"/>
      <c r="N30" s="10"/>
      <c r="O30" s="10"/>
      <c r="P30" s="18"/>
      <c r="Q30" s="18"/>
      <c r="R30" s="10"/>
      <c r="S30" s="10"/>
      <c r="T30" s="10"/>
      <c r="U30" s="10"/>
      <c r="V30" s="10"/>
      <c r="W30" s="18"/>
      <c r="X30" s="18"/>
      <c r="Y30" s="10"/>
      <c r="Z30" s="10"/>
      <c r="AA30" s="10"/>
      <c r="AB30" s="10"/>
      <c r="AC30" s="10"/>
      <c r="AD30" s="18"/>
      <c r="AE30" s="18"/>
      <c r="AF30" s="18"/>
      <c r="AG30" s="18"/>
      <c r="AH30" s="18"/>
      <c r="AI30" s="19"/>
      <c r="AJ30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30" s="29" t="str">
        <f ca="1">IF(Январь[[#This Row],[УСЛУГ]]&lt;&gt;"",Январь[[#This Row],[УСЛУГ]]*Январь[[#This Row],[Периодичность]],"")</f>
        <v/>
      </c>
    </row>
    <row r="31" spans="1:37" x14ac:dyDescent="0.25">
      <c r="A31" s="16" t="s">
        <v>5</v>
      </c>
      <c r="B31" s="2" t="s">
        <v>58</v>
      </c>
      <c r="C31" s="8">
        <v>30</v>
      </c>
      <c r="D31" s="11">
        <v>1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31" s="29">
        <f ca="1">IF(Январь[[#This Row],[УСЛУГ]]&lt;&gt;"",Январь[[#This Row],[УСЛУГ]]*Январь[[#This Row],[Периодичность]],"")</f>
        <v>0</v>
      </c>
    </row>
    <row r="32" spans="1:37" x14ac:dyDescent="0.25">
      <c r="A32" s="16"/>
      <c r="B32" s="2"/>
      <c r="C32" s="8">
        <v>30</v>
      </c>
      <c r="D32" s="11">
        <v>2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32" s="29" t="str">
        <f ca="1">IF(Январь[[#This Row],[УСЛУГ]]&lt;&gt;"",Январь[[#This Row],[УСЛУГ]]*Январь[[#This Row],[Периодичность]],"")</f>
        <v/>
      </c>
    </row>
    <row r="33" spans="1:37" x14ac:dyDescent="0.25">
      <c r="A33" s="16"/>
      <c r="B33" s="2"/>
      <c r="C33" s="8">
        <v>30</v>
      </c>
      <c r="D33" s="11">
        <v>3</v>
      </c>
      <c r="E33" s="18"/>
      <c r="F33" s="18"/>
      <c r="G33" s="18"/>
      <c r="H33" s="18"/>
      <c r="I33" s="18"/>
      <c r="J33" s="18"/>
      <c r="K33" s="10"/>
      <c r="L33" s="10"/>
      <c r="M33" s="10"/>
      <c r="N33" s="10"/>
      <c r="O33" s="10"/>
      <c r="P33" s="18"/>
      <c r="Q33" s="18"/>
      <c r="R33" s="10"/>
      <c r="S33" s="10"/>
      <c r="T33" s="10"/>
      <c r="U33" s="10"/>
      <c r="V33" s="10"/>
      <c r="W33" s="18"/>
      <c r="X33" s="18"/>
      <c r="Y33" s="10"/>
      <c r="Z33" s="10"/>
      <c r="AA33" s="10"/>
      <c r="AB33" s="10"/>
      <c r="AC33" s="10"/>
      <c r="AD33" s="18"/>
      <c r="AE33" s="18"/>
      <c r="AF33" s="18"/>
      <c r="AG33" s="18"/>
      <c r="AH33" s="18"/>
      <c r="AI33" s="19"/>
      <c r="AJ33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33" s="29" t="str">
        <f ca="1">IF(Январь[[#This Row],[УСЛУГ]]&lt;&gt;"",Январь[[#This Row],[УСЛУГ]]*Январь[[#This Row],[Периодичность]],"")</f>
        <v/>
      </c>
    </row>
    <row r="34" spans="1:37" ht="47.25" x14ac:dyDescent="0.25">
      <c r="A34" s="16" t="s">
        <v>85</v>
      </c>
      <c r="B34" s="2" t="s">
        <v>58</v>
      </c>
      <c r="C34" s="8">
        <v>3</v>
      </c>
      <c r="D34" s="11">
        <v>1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20"/>
      <c r="AJ34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34" s="29">
        <f ca="1">IF(Январь[[#This Row],[УСЛУГ]]&lt;&gt;"",Январь[[#This Row],[УСЛУГ]]*Январь[[#This Row],[Периодичность]],"")</f>
        <v>0</v>
      </c>
    </row>
    <row r="35" spans="1:37" ht="18.75" x14ac:dyDescent="0.25">
      <c r="A35" s="16"/>
      <c r="B35" s="2"/>
      <c r="C35" s="8">
        <v>3</v>
      </c>
      <c r="D35" s="11">
        <v>2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20"/>
      <c r="AJ35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35" s="29" t="str">
        <f ca="1">IF(Январь[[#This Row],[УСЛУГ]]&lt;&gt;"",Январь[[#This Row],[УСЛУГ]]*Январь[[#This Row],[Периодичность]],"")</f>
        <v/>
      </c>
    </row>
    <row r="36" spans="1:37" ht="18.75" x14ac:dyDescent="0.25">
      <c r="A36" s="16"/>
      <c r="B36" s="2"/>
      <c r="C36" s="8">
        <v>3</v>
      </c>
      <c r="D36" s="11">
        <v>3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20"/>
      <c r="AJ36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36" s="29" t="str">
        <f ca="1">IF(Январь[[#This Row],[УСЛУГ]]&lt;&gt;"",Январь[[#This Row],[УСЛУГ]]*Январь[[#This Row],[Периодичность]],"")</f>
        <v/>
      </c>
    </row>
    <row r="37" spans="1:37" ht="18.75" x14ac:dyDescent="0.25">
      <c r="A37" s="16" t="s">
        <v>8</v>
      </c>
      <c r="B37" s="2" t="s">
        <v>59</v>
      </c>
      <c r="C37" s="8">
        <v>15</v>
      </c>
      <c r="D37" s="11">
        <v>1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20"/>
      <c r="AJ37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37" s="29">
        <f ca="1">IF(Январь[[#This Row],[УСЛУГ]]&lt;&gt;"",Январь[[#This Row],[УСЛУГ]]*Январь[[#This Row],[Периодичность]],"")</f>
        <v>0</v>
      </c>
    </row>
    <row r="38" spans="1:37" ht="18.75" x14ac:dyDescent="0.25">
      <c r="A38" s="16"/>
      <c r="B38" s="2"/>
      <c r="C38" s="8">
        <v>15</v>
      </c>
      <c r="D38" s="11">
        <v>2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0"/>
      <c r="AJ38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38" s="29" t="str">
        <f ca="1">IF(Январь[[#This Row],[УСЛУГ]]&lt;&gt;"",Январь[[#This Row],[УСЛУГ]]*Январь[[#This Row],[Периодичность]],"")</f>
        <v/>
      </c>
    </row>
    <row r="39" spans="1:37" ht="18.75" x14ac:dyDescent="0.25">
      <c r="A39" s="16"/>
      <c r="B39" s="2"/>
      <c r="C39" s="8">
        <v>15</v>
      </c>
      <c r="D39" s="11">
        <v>3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20"/>
      <c r="AJ39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39" s="29" t="str">
        <f ca="1">IF(Январь[[#This Row],[УСЛУГ]]&lt;&gt;"",Январь[[#This Row],[УСЛУГ]]*Январь[[#This Row],[Периодичность]],"")</f>
        <v/>
      </c>
    </row>
    <row r="40" spans="1:37" ht="47.25" x14ac:dyDescent="0.25">
      <c r="A40" s="16" t="s">
        <v>84</v>
      </c>
      <c r="B40" s="2" t="s">
        <v>61</v>
      </c>
      <c r="C40" s="8">
        <v>49</v>
      </c>
      <c r="D40" s="11">
        <v>1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20"/>
      <c r="AJ40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40" s="29">
        <f ca="1">IF(Январь[[#This Row],[УСЛУГ]]&lt;&gt;"",Январь[[#This Row],[УСЛУГ]]*Январь[[#This Row],[Периодичность]],"")</f>
        <v>0</v>
      </c>
    </row>
    <row r="41" spans="1:37" ht="18.75" x14ac:dyDescent="0.25">
      <c r="A41" s="16"/>
      <c r="B41" s="2"/>
      <c r="C41" s="8">
        <v>49</v>
      </c>
      <c r="D41" s="11">
        <v>2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20"/>
      <c r="AJ41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41" s="29" t="str">
        <f ca="1">IF(Январь[[#This Row],[УСЛУГ]]&lt;&gt;"",Январь[[#This Row],[УСЛУГ]]*Январь[[#This Row],[Периодичность]],"")</f>
        <v/>
      </c>
    </row>
    <row r="42" spans="1:37" ht="18.75" x14ac:dyDescent="0.25">
      <c r="A42" s="16"/>
      <c r="B42" s="2"/>
      <c r="C42" s="8">
        <v>49</v>
      </c>
      <c r="D42" s="11">
        <v>3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20"/>
      <c r="AJ42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42" s="29" t="str">
        <f ca="1">IF(Январь[[#This Row],[УСЛУГ]]&lt;&gt;"",Январь[[#This Row],[УСЛУГ]]*Январь[[#This Row],[Периодичность]],"")</f>
        <v/>
      </c>
    </row>
    <row r="43" spans="1:37" ht="31.5" x14ac:dyDescent="0.25">
      <c r="A43" s="16" t="s">
        <v>13</v>
      </c>
      <c r="B43" s="2" t="s">
        <v>59</v>
      </c>
      <c r="C43" s="8">
        <v>12</v>
      </c>
      <c r="D43" s="11">
        <v>1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43" s="29">
        <f ca="1">IF(Январь[[#This Row],[УСЛУГ]]&lt;&gt;"",Январь[[#This Row],[УСЛУГ]]*Январь[[#This Row],[Периодичность]],"")</f>
        <v>0</v>
      </c>
    </row>
    <row r="44" spans="1:37" ht="18.75" x14ac:dyDescent="0.25">
      <c r="A44" s="16"/>
      <c r="B44" s="2"/>
      <c r="C44" s="8">
        <v>12</v>
      </c>
      <c r="D44" s="11">
        <v>2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20"/>
      <c r="AJ44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44" s="29" t="str">
        <f ca="1">IF(Январь[[#This Row],[УСЛУГ]]&lt;&gt;"",Январь[[#This Row],[УСЛУГ]]*Январь[[#This Row],[Периодичность]],"")</f>
        <v/>
      </c>
    </row>
    <row r="45" spans="1:37" x14ac:dyDescent="0.25">
      <c r="A45" s="16"/>
      <c r="B45" s="2"/>
      <c r="C45" s="8">
        <v>12</v>
      </c>
      <c r="D45" s="11">
        <v>3</v>
      </c>
      <c r="E45" s="18"/>
      <c r="F45" s="18"/>
      <c r="G45" s="18"/>
      <c r="H45" s="18"/>
      <c r="I45" s="18"/>
      <c r="J45" s="18"/>
      <c r="K45" s="10"/>
      <c r="L45" s="10"/>
      <c r="M45" s="10"/>
      <c r="N45" s="10"/>
      <c r="O45" s="10"/>
      <c r="P45" s="18"/>
      <c r="Q45" s="18"/>
      <c r="R45" s="10"/>
      <c r="S45" s="10"/>
      <c r="T45" s="10"/>
      <c r="U45" s="10"/>
      <c r="V45" s="10"/>
      <c r="W45" s="18"/>
      <c r="X45" s="18"/>
      <c r="Y45" s="10"/>
      <c r="Z45" s="10"/>
      <c r="AA45" s="10"/>
      <c r="AB45" s="10"/>
      <c r="AC45" s="10"/>
      <c r="AD45" s="18"/>
      <c r="AE45" s="18"/>
      <c r="AF45" s="18"/>
      <c r="AG45" s="18"/>
      <c r="AH45" s="18"/>
      <c r="AI45" s="19"/>
      <c r="AJ45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45" s="29" t="str">
        <f ca="1">IF(Январь[[#This Row],[УСЛУГ]]&lt;&gt;"",Январь[[#This Row],[УСЛУГ]]*Январь[[#This Row],[Периодичность]],"")</f>
        <v/>
      </c>
    </row>
    <row r="46" spans="1:37" ht="18.75" x14ac:dyDescent="0.25">
      <c r="A46" s="16" t="s">
        <v>16</v>
      </c>
      <c r="B46" s="2" t="s">
        <v>59</v>
      </c>
      <c r="C46" s="8">
        <v>15</v>
      </c>
      <c r="D46" s="11">
        <v>1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20"/>
      <c r="AJ46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46" s="29">
        <f ca="1">IF(Январь[[#This Row],[УСЛУГ]]&lt;&gt;"",Январь[[#This Row],[УСЛУГ]]*Январь[[#This Row],[Периодичность]],"")</f>
        <v>0</v>
      </c>
    </row>
    <row r="47" spans="1:37" ht="18.75" x14ac:dyDescent="0.25">
      <c r="A47" s="16"/>
      <c r="B47" s="2"/>
      <c r="C47" s="8">
        <v>15</v>
      </c>
      <c r="D47" s="11">
        <v>2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20"/>
      <c r="AJ47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47" s="29" t="str">
        <f ca="1">IF(Январь[[#This Row],[УСЛУГ]]&lt;&gt;"",Январь[[#This Row],[УСЛУГ]]*Январь[[#This Row],[Периодичность]],"")</f>
        <v/>
      </c>
    </row>
    <row r="48" spans="1:37" ht="18.75" x14ac:dyDescent="0.25">
      <c r="A48" s="16"/>
      <c r="B48" s="2"/>
      <c r="C48" s="8">
        <v>15</v>
      </c>
      <c r="D48" s="11">
        <v>3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20"/>
      <c r="AJ48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48" s="29" t="str">
        <f ca="1">IF(Январь[[#This Row],[УСЛУГ]]&lt;&gt;"",Январь[[#This Row],[УСЛУГ]]*Январь[[#This Row],[Периодичность]],"")</f>
        <v/>
      </c>
    </row>
    <row r="49" spans="1:37" ht="31.5" x14ac:dyDescent="0.25">
      <c r="A49" s="16" t="s">
        <v>25</v>
      </c>
      <c r="B49" s="2" t="s">
        <v>59</v>
      </c>
      <c r="C49" s="8">
        <v>10</v>
      </c>
      <c r="D49" s="11">
        <v>1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49" s="29">
        <f ca="1">IF(Январь[[#This Row],[УСЛУГ]]&lt;&gt;"",Январь[[#This Row],[УСЛУГ]]*Январь[[#This Row],[Периодичность]],"")</f>
        <v>0</v>
      </c>
    </row>
    <row r="50" spans="1:37" x14ac:dyDescent="0.25">
      <c r="A50" s="16"/>
      <c r="B50" s="2"/>
      <c r="C50" s="8">
        <v>10</v>
      </c>
      <c r="D50" s="11">
        <v>2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50" s="29" t="str">
        <f ca="1">IF(Январь[[#This Row],[УСЛУГ]]&lt;&gt;"",Январь[[#This Row],[УСЛУГ]]*Январь[[#This Row],[Периодичность]],"")</f>
        <v/>
      </c>
    </row>
    <row r="51" spans="1:37" ht="18.75" x14ac:dyDescent="0.25">
      <c r="A51" s="16"/>
      <c r="B51" s="2"/>
      <c r="C51" s="8">
        <v>10</v>
      </c>
      <c r="D51" s="11">
        <v>3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20"/>
      <c r="AJ51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51" s="29" t="str">
        <f ca="1">IF(Январь[[#This Row],[УСЛУГ]]&lt;&gt;"",Январь[[#This Row],[УСЛУГ]]*Январь[[#This Row],[Периодичность]],"")</f>
        <v/>
      </c>
    </row>
    <row r="52" spans="1:37" ht="31.5" x14ac:dyDescent="0.25">
      <c r="A52" s="16" t="s">
        <v>27</v>
      </c>
      <c r="B52" s="2" t="s">
        <v>59</v>
      </c>
      <c r="C52" s="8">
        <v>15</v>
      </c>
      <c r="D52" s="11">
        <v>1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20"/>
      <c r="AJ52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52" s="29">
        <f ca="1">IF(Январь[[#This Row],[УСЛУГ]]&lt;&gt;"",Январь[[#This Row],[УСЛУГ]]*Январь[[#This Row],[Периодичность]],"")</f>
        <v>0</v>
      </c>
    </row>
    <row r="53" spans="1:37" ht="18.75" x14ac:dyDescent="0.25">
      <c r="A53" s="16"/>
      <c r="B53" s="2"/>
      <c r="C53" s="8">
        <v>15</v>
      </c>
      <c r="D53" s="11">
        <v>2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20"/>
      <c r="AJ53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53" s="29" t="str">
        <f ca="1">IF(Январь[[#This Row],[УСЛУГ]]&lt;&gt;"",Январь[[#This Row],[УСЛУГ]]*Январь[[#This Row],[Периодичность]],"")</f>
        <v/>
      </c>
    </row>
    <row r="54" spans="1:37" ht="18.75" x14ac:dyDescent="0.25">
      <c r="A54" s="16"/>
      <c r="B54" s="2"/>
      <c r="C54" s="8">
        <v>15</v>
      </c>
      <c r="D54" s="11">
        <v>3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20"/>
      <c r="AJ54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54" s="29" t="str">
        <f ca="1">IF(Январь[[#This Row],[УСЛУГ]]&lt;&gt;"",Январь[[#This Row],[УСЛУГ]]*Январь[[#This Row],[Периодичность]],"")</f>
        <v/>
      </c>
    </row>
    <row r="55" spans="1:37" ht="31.5" x14ac:dyDescent="0.25">
      <c r="A55" s="16" t="s">
        <v>29</v>
      </c>
      <c r="B55" s="2" t="s">
        <v>61</v>
      </c>
      <c r="C55" s="8">
        <v>15</v>
      </c>
      <c r="D55" s="11">
        <v>1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20"/>
      <c r="AJ55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55" s="29">
        <f ca="1">IF(Январь[[#This Row],[УСЛУГ]]&lt;&gt;"",Январь[[#This Row],[УСЛУГ]]*Январь[[#This Row],[Периодичность]],"")</f>
        <v>0</v>
      </c>
    </row>
    <row r="56" spans="1:37" ht="18.75" x14ac:dyDescent="0.25">
      <c r="A56" s="16"/>
      <c r="B56" s="2"/>
      <c r="C56" s="8">
        <v>15</v>
      </c>
      <c r="D56" s="11">
        <v>2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20"/>
      <c r="AJ56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56" s="29" t="str">
        <f ca="1">IF(Январь[[#This Row],[УСЛУГ]]&lt;&gt;"",Январь[[#This Row],[УСЛУГ]]*Январь[[#This Row],[Периодичность]],"")</f>
        <v/>
      </c>
    </row>
    <row r="57" spans="1:37" ht="18.75" x14ac:dyDescent="0.25">
      <c r="A57" s="16"/>
      <c r="B57" s="2"/>
      <c r="C57" s="8">
        <v>15</v>
      </c>
      <c r="D57" s="11">
        <v>3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20"/>
      <c r="AJ57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57" s="29" t="str">
        <f ca="1">IF(Январь[[#This Row],[УСЛУГ]]&lt;&gt;"",Январь[[#This Row],[УСЛУГ]]*Январь[[#This Row],[Периодичность]],"")</f>
        <v/>
      </c>
    </row>
    <row r="58" spans="1:37" ht="47.25" x14ac:dyDescent="0.25">
      <c r="A58" s="16" t="s">
        <v>83</v>
      </c>
      <c r="B58" s="2" t="s">
        <v>58</v>
      </c>
      <c r="C58" s="8">
        <v>10</v>
      </c>
      <c r="D58" s="11">
        <v>1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20"/>
      <c r="AJ58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58" s="29">
        <f ca="1">IF(Январь[[#This Row],[УСЛУГ]]&lt;&gt;"",Январь[[#This Row],[УСЛУГ]]*Январь[[#This Row],[Периодичность]],"")</f>
        <v>0</v>
      </c>
    </row>
    <row r="59" spans="1:37" ht="18.75" x14ac:dyDescent="0.25">
      <c r="A59" s="16"/>
      <c r="B59" s="2"/>
      <c r="C59" s="8">
        <v>10</v>
      </c>
      <c r="D59" s="11">
        <v>2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20"/>
      <c r="AJ59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59" s="29" t="str">
        <f ca="1">IF(Январь[[#This Row],[УСЛУГ]]&lt;&gt;"",Январь[[#This Row],[УСЛУГ]]*Январь[[#This Row],[Периодичность]],"")</f>
        <v/>
      </c>
    </row>
    <row r="60" spans="1:37" ht="18.75" x14ac:dyDescent="0.25">
      <c r="A60" s="16"/>
      <c r="B60" s="2"/>
      <c r="C60" s="8">
        <v>10</v>
      </c>
      <c r="D60" s="11">
        <v>3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20"/>
      <c r="AJ60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60" s="29" t="str">
        <f ca="1">IF(Январь[[#This Row],[УСЛУГ]]&lt;&gt;"",Январь[[#This Row],[УСЛУГ]]*Январь[[#This Row],[Периодичность]],"")</f>
        <v/>
      </c>
    </row>
    <row r="61" spans="1:37" ht="47.25" x14ac:dyDescent="0.25">
      <c r="A61" s="16" t="s">
        <v>82</v>
      </c>
      <c r="B61" s="2" t="s">
        <v>59</v>
      </c>
      <c r="C61" s="8">
        <v>10</v>
      </c>
      <c r="D61" s="11">
        <v>1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20"/>
      <c r="AJ61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61" s="29">
        <f ca="1">IF(Январь[[#This Row],[УСЛУГ]]&lt;&gt;"",Январь[[#This Row],[УСЛУГ]]*Январь[[#This Row],[Периодичность]],"")</f>
        <v>0</v>
      </c>
    </row>
    <row r="62" spans="1:37" ht="18.75" x14ac:dyDescent="0.25">
      <c r="A62" s="16"/>
      <c r="B62" s="2"/>
      <c r="C62" s="8">
        <v>10</v>
      </c>
      <c r="D62" s="11">
        <v>2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20"/>
      <c r="AJ62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62" s="29" t="str">
        <f ca="1">IF(Январь[[#This Row],[УСЛУГ]]&lt;&gt;"",Январь[[#This Row],[УСЛУГ]]*Январь[[#This Row],[Периодичность]],"")</f>
        <v/>
      </c>
    </row>
    <row r="63" spans="1:37" ht="18.75" x14ac:dyDescent="0.25">
      <c r="A63" s="16"/>
      <c r="B63" s="2"/>
      <c r="C63" s="8">
        <v>10</v>
      </c>
      <c r="D63" s="11">
        <v>3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20"/>
      <c r="AJ63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63" s="29" t="str">
        <f ca="1">IF(Январь[[#This Row],[УСЛУГ]]&lt;&gt;"",Январь[[#This Row],[УСЛУГ]]*Январь[[#This Row],[Периодичность]],"")</f>
        <v/>
      </c>
    </row>
    <row r="64" spans="1:37" ht="31.5" x14ac:dyDescent="0.25">
      <c r="A64" s="16" t="s">
        <v>37</v>
      </c>
      <c r="B64" s="2" t="s">
        <v>60</v>
      </c>
      <c r="C64" s="8">
        <v>5</v>
      </c>
      <c r="D64" s="11">
        <v>1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64" s="29">
        <f ca="1">IF(Январь[[#This Row],[УСЛУГ]]&lt;&gt;"",Январь[[#This Row],[УСЛУГ]]*Январь[[#This Row],[Периодичность]],"")</f>
        <v>0</v>
      </c>
    </row>
    <row r="65" spans="1:37" ht="18.75" x14ac:dyDescent="0.25">
      <c r="A65" s="16"/>
      <c r="B65" s="2"/>
      <c r="C65" s="8">
        <v>5</v>
      </c>
      <c r="D65" s="11">
        <v>2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20"/>
      <c r="AJ65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65" s="29" t="str">
        <f ca="1">IF(Январь[[#This Row],[УСЛУГ]]&lt;&gt;"",Январь[[#This Row],[УСЛУГ]]*Январь[[#This Row],[Периодичность]],"")</f>
        <v/>
      </c>
    </row>
    <row r="66" spans="1:37" x14ac:dyDescent="0.25">
      <c r="A66" s="16"/>
      <c r="B66" s="2"/>
      <c r="C66" s="8">
        <v>5</v>
      </c>
      <c r="D66" s="11">
        <v>3</v>
      </c>
      <c r="E66" s="18"/>
      <c r="F66" s="18"/>
      <c r="G66" s="18"/>
      <c r="H66" s="18"/>
      <c r="I66" s="18"/>
      <c r="J66" s="18"/>
      <c r="K66" s="10"/>
      <c r="L66" s="10"/>
      <c r="M66" s="10"/>
      <c r="N66" s="10"/>
      <c r="O66" s="10"/>
      <c r="P66" s="18"/>
      <c r="Q66" s="18"/>
      <c r="R66" s="10"/>
      <c r="S66" s="10"/>
      <c r="T66" s="10"/>
      <c r="U66" s="10"/>
      <c r="V66" s="10"/>
      <c r="W66" s="18"/>
      <c r="X66" s="18"/>
      <c r="Y66" s="10"/>
      <c r="Z66" s="10"/>
      <c r="AA66" s="10"/>
      <c r="AB66" s="10"/>
      <c r="AC66" s="10"/>
      <c r="AD66" s="18"/>
      <c r="AE66" s="18"/>
      <c r="AF66" s="18"/>
      <c r="AG66" s="18"/>
      <c r="AH66" s="18"/>
      <c r="AI66" s="19"/>
      <c r="AJ66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66" s="29" t="str">
        <f ca="1">IF(Январь[[#This Row],[УСЛУГ]]&lt;&gt;"",Январь[[#This Row],[УСЛУГ]]*Январь[[#This Row],[Периодичность]],"")</f>
        <v/>
      </c>
    </row>
    <row r="67" spans="1:37" ht="18.75" x14ac:dyDescent="0.25">
      <c r="A67" s="16" t="s">
        <v>38</v>
      </c>
      <c r="B67" s="2" t="s">
        <v>59</v>
      </c>
      <c r="C67" s="8">
        <v>7</v>
      </c>
      <c r="D67" s="11">
        <v>1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20"/>
      <c r="AJ67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67" s="29">
        <f ca="1">IF(Январь[[#This Row],[УСЛУГ]]&lt;&gt;"",Январь[[#This Row],[УСЛУГ]]*Январь[[#This Row],[Периодичность]],"")</f>
        <v>0</v>
      </c>
    </row>
    <row r="68" spans="1:37" ht="18.75" x14ac:dyDescent="0.25">
      <c r="A68" s="16"/>
      <c r="B68" s="2"/>
      <c r="C68" s="8">
        <v>7</v>
      </c>
      <c r="D68" s="11">
        <v>2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20"/>
      <c r="AJ68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68" s="29" t="str">
        <f ca="1">IF(Январь[[#This Row],[УСЛУГ]]&lt;&gt;"",Январь[[#This Row],[УСЛУГ]]*Январь[[#This Row],[Периодичность]],"")</f>
        <v/>
      </c>
    </row>
    <row r="69" spans="1:37" ht="18.75" x14ac:dyDescent="0.25">
      <c r="A69" s="16"/>
      <c r="B69" s="2"/>
      <c r="C69" s="8">
        <v>7</v>
      </c>
      <c r="D69" s="11">
        <v>3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20"/>
      <c r="AJ69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69" s="29" t="str">
        <f ca="1">IF(Январь[[#This Row],[УСЛУГ]]&lt;&gt;"",Январь[[#This Row],[УСЛУГ]]*Январь[[#This Row],[Периодичность]],"")</f>
        <v/>
      </c>
    </row>
    <row r="70" spans="1:37" ht="47.25" x14ac:dyDescent="0.25">
      <c r="A70" s="16" t="s">
        <v>81</v>
      </c>
      <c r="B70" s="2" t="s">
        <v>59</v>
      </c>
      <c r="C70" s="8">
        <v>5</v>
      </c>
      <c r="D70" s="11">
        <v>1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20"/>
      <c r="AJ70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70" s="29">
        <f ca="1">IF(Январь[[#This Row],[УСЛУГ]]&lt;&gt;"",Январь[[#This Row],[УСЛУГ]]*Январь[[#This Row],[Периодичность]],"")</f>
        <v>0</v>
      </c>
    </row>
    <row r="71" spans="1:37" ht="18.75" x14ac:dyDescent="0.25">
      <c r="A71" s="16"/>
      <c r="B71" s="2"/>
      <c r="C71" s="8">
        <v>5</v>
      </c>
      <c r="D71" s="11">
        <v>2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20"/>
      <c r="AJ71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71" s="29" t="str">
        <f ca="1">IF(Январь[[#This Row],[УСЛУГ]]&lt;&gt;"",Январь[[#This Row],[УСЛУГ]]*Январь[[#This Row],[Периодичность]],"")</f>
        <v/>
      </c>
    </row>
    <row r="72" spans="1:37" ht="18.75" x14ac:dyDescent="0.25">
      <c r="A72" s="16"/>
      <c r="B72" s="2"/>
      <c r="C72" s="8">
        <v>5</v>
      </c>
      <c r="D72" s="11">
        <v>3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20"/>
      <c r="AJ72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72" s="29" t="str">
        <f ca="1">IF(Январь[[#This Row],[УСЛУГ]]&lt;&gt;"",Январь[[#This Row],[УСЛУГ]]*Январь[[#This Row],[Периодичность]],"")</f>
        <v/>
      </c>
    </row>
    <row r="73" spans="1:37" ht="47.25" x14ac:dyDescent="0.25">
      <c r="A73" s="16" t="s">
        <v>80</v>
      </c>
      <c r="B73" s="2" t="s">
        <v>59</v>
      </c>
      <c r="C73" s="8">
        <v>5</v>
      </c>
      <c r="D73" s="11">
        <v>1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20"/>
      <c r="AJ73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73" s="29">
        <f ca="1">IF(Январь[[#This Row],[УСЛУГ]]&lt;&gt;"",Январь[[#This Row],[УСЛУГ]]*Январь[[#This Row],[Периодичность]],"")</f>
        <v>0</v>
      </c>
    </row>
    <row r="74" spans="1:37" ht="18.75" x14ac:dyDescent="0.25">
      <c r="A74" s="16"/>
      <c r="B74" s="2"/>
      <c r="C74" s="8">
        <v>5</v>
      </c>
      <c r="D74" s="11">
        <v>2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20"/>
      <c r="AJ74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74" s="29" t="str">
        <f ca="1">IF(Январь[[#This Row],[УСЛУГ]]&lt;&gt;"",Январь[[#This Row],[УСЛУГ]]*Январь[[#This Row],[Периодичность]],"")</f>
        <v/>
      </c>
    </row>
    <row r="75" spans="1:37" ht="18.75" x14ac:dyDescent="0.25">
      <c r="A75" s="16"/>
      <c r="B75" s="2"/>
      <c r="C75" s="8">
        <v>5</v>
      </c>
      <c r="D75" s="11">
        <v>3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20"/>
      <c r="AJ75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75" s="29" t="str">
        <f ca="1">IF(Январь[[#This Row],[УСЛУГ]]&lt;&gt;"",Январь[[#This Row],[УСЛУГ]]*Январь[[#This Row],[Периодичность]],"")</f>
        <v/>
      </c>
    </row>
    <row r="76" spans="1:37" ht="47.25" x14ac:dyDescent="0.25">
      <c r="A76" s="16" t="s">
        <v>79</v>
      </c>
      <c r="B76" s="2" t="s">
        <v>57</v>
      </c>
      <c r="C76" s="8">
        <v>45</v>
      </c>
      <c r="D76" s="11">
        <v>1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20"/>
      <c r="AJ76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76" s="29">
        <f ca="1">IF(Январь[[#This Row],[УСЛУГ]]&lt;&gt;"",Январь[[#This Row],[УСЛУГ]]*Январь[[#This Row],[Периодичность]],"")</f>
        <v>0</v>
      </c>
    </row>
    <row r="77" spans="1:37" ht="18.75" x14ac:dyDescent="0.25">
      <c r="A77" s="16"/>
      <c r="B77" s="2"/>
      <c r="C77" s="8">
        <v>45</v>
      </c>
      <c r="D77" s="11">
        <v>2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20"/>
      <c r="AJ77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77" s="29" t="str">
        <f ca="1">IF(Январь[[#This Row],[УСЛУГ]]&lt;&gt;"",Январь[[#This Row],[УСЛУГ]]*Январь[[#This Row],[Периодичность]],"")</f>
        <v/>
      </c>
    </row>
    <row r="78" spans="1:37" x14ac:dyDescent="0.25">
      <c r="A78" s="16"/>
      <c r="B78" s="2"/>
      <c r="C78" s="8">
        <v>45</v>
      </c>
      <c r="D78" s="11">
        <v>3</v>
      </c>
      <c r="E78" s="18"/>
      <c r="F78" s="18"/>
      <c r="G78" s="18"/>
      <c r="H78" s="18"/>
      <c r="I78" s="18"/>
      <c r="J78" s="18"/>
      <c r="K78" s="10"/>
      <c r="L78" s="10"/>
      <c r="M78" s="10"/>
      <c r="N78" s="10"/>
      <c r="O78" s="10"/>
      <c r="P78" s="18"/>
      <c r="Q78" s="18"/>
      <c r="R78" s="10"/>
      <c r="S78" s="10"/>
      <c r="T78" s="10"/>
      <c r="U78" s="10"/>
      <c r="V78" s="10"/>
      <c r="W78" s="18"/>
      <c r="X78" s="18"/>
      <c r="Y78" s="10"/>
      <c r="Z78" s="10"/>
      <c r="AA78" s="10"/>
      <c r="AB78" s="10"/>
      <c r="AC78" s="10"/>
      <c r="AD78" s="18"/>
      <c r="AE78" s="18"/>
      <c r="AF78" s="18"/>
      <c r="AG78" s="18"/>
      <c r="AH78" s="18"/>
      <c r="AI78" s="19"/>
      <c r="AJ78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78" s="29" t="str">
        <f ca="1">IF(Январь[[#This Row],[УСЛУГ]]&lt;&gt;"",Январь[[#This Row],[УСЛУГ]]*Январь[[#This Row],[Периодичность]],"")</f>
        <v/>
      </c>
    </row>
    <row r="79" spans="1:37" ht="47.25" x14ac:dyDescent="0.25">
      <c r="A79" s="16" t="s">
        <v>78</v>
      </c>
      <c r="B79" s="2" t="s">
        <v>59</v>
      </c>
      <c r="C79" s="8">
        <v>10</v>
      </c>
      <c r="D79" s="11">
        <v>1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29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79" s="29">
        <f ca="1">IF(Январь[[#This Row],[УСЛУГ]]&lt;&gt;"",Январь[[#This Row],[УСЛУГ]]*Январь[[#This Row],[Периодичность]],"")</f>
        <v>0</v>
      </c>
    </row>
    <row r="80" spans="1:37" ht="18.75" x14ac:dyDescent="0.25">
      <c r="A80" s="16"/>
      <c r="B80" s="2"/>
      <c r="C80" s="8">
        <v>10</v>
      </c>
      <c r="D80" s="11">
        <v>2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20"/>
      <c r="AJ80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80" s="29" t="str">
        <f ca="1">IF(Январь[[#This Row],[УСЛУГ]]&lt;&gt;"",Январь[[#This Row],[УСЛУГ]]*Январь[[#This Row],[Периодичность]],"")</f>
        <v/>
      </c>
    </row>
    <row r="81" spans="1:37" x14ac:dyDescent="0.25">
      <c r="A81" s="16"/>
      <c r="B81" s="2"/>
      <c r="C81" s="8">
        <v>10</v>
      </c>
      <c r="D81" s="11">
        <v>3</v>
      </c>
      <c r="E81" s="18"/>
      <c r="F81" s="18"/>
      <c r="G81" s="18"/>
      <c r="H81" s="18"/>
      <c r="I81" s="18"/>
      <c r="J81" s="18"/>
      <c r="K81" s="10"/>
      <c r="L81" s="10"/>
      <c r="M81" s="10"/>
      <c r="N81" s="10"/>
      <c r="O81" s="10"/>
      <c r="P81" s="18"/>
      <c r="Q81" s="18"/>
      <c r="R81" s="10"/>
      <c r="S81" s="10"/>
      <c r="T81" s="10"/>
      <c r="U81" s="10"/>
      <c r="V81" s="10"/>
      <c r="W81" s="18"/>
      <c r="X81" s="18"/>
      <c r="Y81" s="10"/>
      <c r="Z81" s="10"/>
      <c r="AA81" s="10"/>
      <c r="AB81" s="10"/>
      <c r="AC81" s="10"/>
      <c r="AD81" s="18"/>
      <c r="AE81" s="18"/>
      <c r="AF81" s="18"/>
      <c r="AG81" s="18"/>
      <c r="AH81" s="18"/>
      <c r="AI81" s="19"/>
      <c r="AJ81" s="29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81" s="29" t="str">
        <f ca="1">IF(Январь[[#This Row],[УСЛУГ]]&lt;&gt;"",Январь[[#This Row],[УСЛУГ]]*Январь[[#This Row],[Периодичность]],"")</f>
        <v/>
      </c>
    </row>
  </sheetData>
  <mergeCells count="20">
    <mergeCell ref="A2:AJ2"/>
    <mergeCell ref="A3:AJ3"/>
    <mergeCell ref="J4:L4"/>
    <mergeCell ref="M4:U4"/>
    <mergeCell ref="M5:Q5"/>
    <mergeCell ref="AJ7:AJ11"/>
    <mergeCell ref="AK7:AK11"/>
    <mergeCell ref="E10:AI11"/>
    <mergeCell ref="A19:A23"/>
    <mergeCell ref="B19:C23"/>
    <mergeCell ref="D19:D23"/>
    <mergeCell ref="E19:AI20"/>
    <mergeCell ref="AJ19:AJ23"/>
    <mergeCell ref="AK19:AK23"/>
    <mergeCell ref="E22:AI23"/>
    <mergeCell ref="A7:A11"/>
    <mergeCell ref="B7:B11"/>
    <mergeCell ref="C7:C11"/>
    <mergeCell ref="D7:D11"/>
    <mergeCell ref="E7:AI8"/>
  </mergeCells>
  <conditionalFormatting sqref="E9:AI9">
    <cfRule type="expression" dxfId="1175" priority="2">
      <formula>WEEKDAY(E9:AI9,2)&gt;5</formula>
    </cfRule>
  </conditionalFormatting>
  <conditionalFormatting sqref="E21:AI21">
    <cfRule type="expression" dxfId="1174" priority="1">
      <formula>WEEKDAY(E21:AI21,2)&gt;5</formula>
    </cfRule>
  </conditionalFormatting>
  <dataValidations count="2">
    <dataValidation type="list" allowBlank="1" showInputMessage="1" showErrorMessage="1" sqref="D25:D81">
      <formula1>INDIRECT("Посещения")</formula1>
    </dataValidation>
    <dataValidation type="list" allowBlank="1" showInputMessage="1" showErrorMessage="1" sqref="A25:A81">
      <formula1>INDIRECT("Услуги[Кратко]")</formula1>
    </dataValidation>
  </dataValidations>
  <pageMargins left="0.25" right="0.25" top="0.75" bottom="0.75" header="0.3" footer="0.3"/>
  <pageSetup paperSize="9" scale="52" fitToHeight="0" orientation="landscape" horizontalDpi="300" verticalDpi="300" r:id="rId1"/>
  <ignoredErrors>
    <ignoredError sqref="E13:E17 AI13:AK17 B13:B17" calculatedColumn="1"/>
  </ignoredErrors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105"/>
  <sheetViews>
    <sheetView zoomScale="80" zoomScaleNormal="80" workbookViewId="0">
      <selection activeCell="B5" sqref="B5"/>
    </sheetView>
  </sheetViews>
  <sheetFormatPr defaultRowHeight="15.75" x14ac:dyDescent="0.25"/>
  <cols>
    <col min="1" max="1" width="21.42578125" style="3" customWidth="1"/>
    <col min="2" max="2" width="14.140625" style="3" customWidth="1"/>
    <col min="3" max="3" width="17.5703125" style="3" customWidth="1"/>
    <col min="4" max="4" width="9.28515625" style="3" customWidth="1"/>
    <col min="5" max="5" width="11.28515625" style="3" bestFit="1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9.5703125" style="3" bestFit="1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7" ht="18.75" x14ac:dyDescent="0.25">
      <c r="A2" s="60" t="s">
        <v>72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</row>
    <row r="3" spans="1:37" ht="18.75" x14ac:dyDescent="0.25">
      <c r="A3" s="60" t="s">
        <v>73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</row>
    <row r="4" spans="1:37" ht="18.75" x14ac:dyDescent="0.25">
      <c r="I4" s="13"/>
      <c r="J4" s="61" t="s">
        <v>74</v>
      </c>
      <c r="K4" s="61"/>
      <c r="L4" s="61"/>
      <c r="M4" s="62"/>
      <c r="N4" s="54"/>
      <c r="O4" s="54"/>
      <c r="P4" s="54"/>
      <c r="Q4" s="54"/>
      <c r="R4" s="54"/>
      <c r="S4" s="54"/>
      <c r="T4" s="54"/>
      <c r="U4" s="54"/>
    </row>
    <row r="5" spans="1:37" ht="18.75" x14ac:dyDescent="0.25">
      <c r="C5" s="17"/>
      <c r="L5" s="12" t="s">
        <v>75</v>
      </c>
      <c r="M5" s="63" t="s">
        <v>141</v>
      </c>
      <c r="N5" s="64"/>
      <c r="O5" s="64"/>
      <c r="P5" s="64"/>
      <c r="Q5" s="64"/>
      <c r="R5" s="37">
        <f>Год[Год]</f>
        <v>2023</v>
      </c>
      <c r="S5" s="38" t="s">
        <v>138</v>
      </c>
      <c r="T5" s="14"/>
      <c r="U5" s="14"/>
    </row>
    <row r="6" spans="1:37" ht="18.75" x14ac:dyDescent="0.25">
      <c r="C6" s="17"/>
      <c r="L6" s="12"/>
      <c r="M6" s="22"/>
      <c r="N6" s="33"/>
      <c r="O6" s="33"/>
      <c r="P6" s="33"/>
      <c r="Q6" s="33"/>
      <c r="R6" s="22"/>
      <c r="S6" s="33"/>
      <c r="T6" s="14"/>
      <c r="U6" s="14"/>
    </row>
    <row r="7" spans="1:37" ht="26.25" customHeight="1" x14ac:dyDescent="0.25">
      <c r="A7" s="49"/>
      <c r="B7" s="57" t="s">
        <v>121</v>
      </c>
      <c r="C7" s="57" t="s">
        <v>120</v>
      </c>
      <c r="D7" s="58" t="s">
        <v>67</v>
      </c>
      <c r="E7" s="49" t="s">
        <v>55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6" t="s">
        <v>70</v>
      </c>
      <c r="AI7" s="39" t="s">
        <v>70</v>
      </c>
      <c r="AK7" s="4"/>
    </row>
    <row r="8" spans="1:37" ht="15.75" customHeight="1" x14ac:dyDescent="0.25">
      <c r="A8" s="49"/>
      <c r="B8" s="52"/>
      <c r="C8" s="52"/>
      <c r="D8" s="59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7"/>
      <c r="AI8" s="39"/>
      <c r="AK8" s="4"/>
    </row>
    <row r="9" spans="1:37" x14ac:dyDescent="0.25">
      <c r="A9" s="49"/>
      <c r="B9" s="52"/>
      <c r="C9" s="52"/>
      <c r="D9" s="59"/>
      <c r="E9" s="23">
        <f>Настройки!E8</f>
        <v>44958</v>
      </c>
      <c r="F9" s="23">
        <f>Настройки!F8</f>
        <v>44959</v>
      </c>
      <c r="G9" s="23">
        <f>Настройки!G8</f>
        <v>44960</v>
      </c>
      <c r="H9" s="23">
        <f>Настройки!H8</f>
        <v>44961</v>
      </c>
      <c r="I9" s="23">
        <f>Настройки!I8</f>
        <v>44962</v>
      </c>
      <c r="J9" s="23">
        <f>Настройки!J8</f>
        <v>44963</v>
      </c>
      <c r="K9" s="23">
        <f>Настройки!K8</f>
        <v>44964</v>
      </c>
      <c r="L9" s="23">
        <f>Настройки!L8</f>
        <v>44965</v>
      </c>
      <c r="M9" s="23">
        <f>Настройки!M8</f>
        <v>44966</v>
      </c>
      <c r="N9" s="23">
        <f>Настройки!N8</f>
        <v>44967</v>
      </c>
      <c r="O9" s="23">
        <f>Настройки!O8</f>
        <v>44968</v>
      </c>
      <c r="P9" s="23">
        <f>Настройки!P8</f>
        <v>44969</v>
      </c>
      <c r="Q9" s="23">
        <f>Настройки!Q8</f>
        <v>44970</v>
      </c>
      <c r="R9" s="23">
        <f>Настройки!R8</f>
        <v>44971</v>
      </c>
      <c r="S9" s="23">
        <f>Настройки!S8</f>
        <v>44972</v>
      </c>
      <c r="T9" s="23">
        <f>Настройки!T8</f>
        <v>44973</v>
      </c>
      <c r="U9" s="23">
        <f>Настройки!U8</f>
        <v>44974</v>
      </c>
      <c r="V9" s="23">
        <f>Настройки!V8</f>
        <v>44975</v>
      </c>
      <c r="W9" s="23">
        <f>Настройки!W8</f>
        <v>44976</v>
      </c>
      <c r="X9" s="23">
        <f>Настройки!X8</f>
        <v>44977</v>
      </c>
      <c r="Y9" s="23">
        <f>Настройки!Y8</f>
        <v>44978</v>
      </c>
      <c r="Z9" s="23">
        <f>Настройки!Z8</f>
        <v>44979</v>
      </c>
      <c r="AA9" s="23">
        <f>Настройки!AA8</f>
        <v>44980</v>
      </c>
      <c r="AB9" s="23">
        <f>Настройки!AB8</f>
        <v>44981</v>
      </c>
      <c r="AC9" s="23">
        <f>Настройки!AC8</f>
        <v>44982</v>
      </c>
      <c r="AD9" s="23">
        <f>Настройки!AD8</f>
        <v>44983</v>
      </c>
      <c r="AE9" s="23">
        <f>Настройки!AE8</f>
        <v>44984</v>
      </c>
      <c r="AF9" s="23">
        <f>Настройки!AF8</f>
        <v>44985</v>
      </c>
      <c r="AG9" s="23" t="str">
        <f>Настройки!AG8</f>
        <v/>
      </c>
      <c r="AH9" s="67"/>
      <c r="AI9" s="39"/>
      <c r="AK9" s="4"/>
    </row>
    <row r="10" spans="1:37" ht="15.75" customHeight="1" x14ac:dyDescent="0.25">
      <c r="A10" s="49"/>
      <c r="B10" s="52"/>
      <c r="C10" s="52"/>
      <c r="D10" s="59"/>
      <c r="E10" s="49" t="s">
        <v>54</v>
      </c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7"/>
      <c r="AI10" s="39"/>
      <c r="AK10" s="4"/>
    </row>
    <row r="11" spans="1:37" x14ac:dyDescent="0.25">
      <c r="A11" s="57"/>
      <c r="B11" s="52"/>
      <c r="C11" s="52"/>
      <c r="D11" s="59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8"/>
      <c r="AI11" s="39"/>
    </row>
    <row r="12" spans="1:37" ht="22.5" customHeight="1" x14ac:dyDescent="0.25">
      <c r="A12" s="3" t="s">
        <v>88</v>
      </c>
      <c r="B12" s="3" t="s">
        <v>87</v>
      </c>
      <c r="C12" s="3" t="s">
        <v>119</v>
      </c>
      <c r="D12" s="9" t="s">
        <v>66</v>
      </c>
      <c r="E12" s="15" t="s">
        <v>89</v>
      </c>
      <c r="F12" s="15" t="s">
        <v>90</v>
      </c>
      <c r="G12" s="15" t="s">
        <v>91</v>
      </c>
      <c r="H12" s="15" t="s">
        <v>92</v>
      </c>
      <c r="I12" s="15" t="s">
        <v>93</v>
      </c>
      <c r="J12" s="15" t="s">
        <v>94</v>
      </c>
      <c r="K12" s="15" t="s">
        <v>95</v>
      </c>
      <c r="L12" s="15" t="s">
        <v>96</v>
      </c>
      <c r="M12" s="15" t="s">
        <v>97</v>
      </c>
      <c r="N12" s="15" t="s">
        <v>98</v>
      </c>
      <c r="O12" s="15" t="s">
        <v>99</v>
      </c>
      <c r="P12" s="15" t="s">
        <v>100</v>
      </c>
      <c r="Q12" s="15" t="s">
        <v>101</v>
      </c>
      <c r="R12" s="15" t="s">
        <v>102</v>
      </c>
      <c r="S12" s="15" t="s">
        <v>103</v>
      </c>
      <c r="T12" s="15" t="s">
        <v>104</v>
      </c>
      <c r="U12" s="15" t="s">
        <v>105</v>
      </c>
      <c r="V12" s="15" t="s">
        <v>106</v>
      </c>
      <c r="W12" s="15" t="s">
        <v>107</v>
      </c>
      <c r="X12" s="15" t="s">
        <v>108</v>
      </c>
      <c r="Y12" s="15" t="s">
        <v>109</v>
      </c>
      <c r="Z12" s="15" t="s">
        <v>110</v>
      </c>
      <c r="AA12" s="15" t="s">
        <v>111</v>
      </c>
      <c r="AB12" s="15" t="s">
        <v>112</v>
      </c>
      <c r="AC12" s="15" t="s">
        <v>113</v>
      </c>
      <c r="AD12" s="15" t="s">
        <v>114</v>
      </c>
      <c r="AE12" s="15" t="s">
        <v>115</v>
      </c>
      <c r="AF12" s="15" t="s">
        <v>116</v>
      </c>
      <c r="AG12" s="15" t="s">
        <v>117</v>
      </c>
      <c r="AH12" s="3" t="s">
        <v>68</v>
      </c>
      <c r="AI12" s="3" t="s">
        <v>69</v>
      </c>
    </row>
    <row r="13" spans="1:37" ht="22.5" customHeight="1" x14ac:dyDescent="0.25">
      <c r="A13" s="5" t="s">
        <v>62</v>
      </c>
      <c r="B13" s="3">
        <f>SUMPRODUCT((Настройки!$E$22:$AG$22=1)*E16:AG16)</f>
        <v>0</v>
      </c>
      <c r="C13" s="15"/>
      <c r="D13" s="5">
        <v>1</v>
      </c>
      <c r="E13" s="3">
        <f>SUMPRODUCT((Февраль[№]=1)*Февраль[1],Февраль[Периодичность])</f>
        <v>0</v>
      </c>
      <c r="F13" s="30">
        <f>SUMPRODUCT((Февраль[№]=1)*Февраль[2],Февраль[Периодичность])</f>
        <v>0</v>
      </c>
      <c r="G13" s="30">
        <f>SUMPRODUCT((Февраль[№]=1)*Февраль[3],Февраль[Периодичность])</f>
        <v>0</v>
      </c>
      <c r="H13" s="30">
        <f>SUMPRODUCT((Февраль[№]=1)*Февраль[4],Февраль[Периодичность])</f>
        <v>0</v>
      </c>
      <c r="I13" s="30">
        <f>SUMPRODUCT((Февраль[№]=1)*Февраль[5],Февраль[Периодичность])</f>
        <v>0</v>
      </c>
      <c r="J13" s="30">
        <f>SUMPRODUCT((Февраль[№]=1)*Февраль[6],Февраль[Периодичность])</f>
        <v>0</v>
      </c>
      <c r="K13" s="30">
        <f>SUMPRODUCT((Февраль[№]=1)*Февраль[7],Февраль[Периодичность])</f>
        <v>0</v>
      </c>
      <c r="L13" s="30">
        <f>SUMPRODUCT((Февраль[№]=1)*Февраль[8],Февраль[Периодичность])</f>
        <v>0</v>
      </c>
      <c r="M13" s="30">
        <f>SUMPRODUCT((Февраль[№]=1)*Февраль[9],Февраль[Периодичность])</f>
        <v>0</v>
      </c>
      <c r="N13" s="30">
        <f>SUMPRODUCT((Февраль[№]=1)*Февраль[10],Февраль[Периодичность])</f>
        <v>0</v>
      </c>
      <c r="O13" s="30">
        <f>SUMPRODUCT((Февраль[№]=1)*Февраль[11],Февраль[Периодичность])</f>
        <v>0</v>
      </c>
      <c r="P13" s="30">
        <f>SUMPRODUCT((Февраль[№]=1)*Февраль[12],Февраль[Периодичность])</f>
        <v>0</v>
      </c>
      <c r="Q13" s="30">
        <f>SUMPRODUCT((Февраль[№]=1)*Февраль[13],Февраль[Периодичность])</f>
        <v>0</v>
      </c>
      <c r="R13" s="30">
        <f>SUMPRODUCT((Февраль[№]=1)*Февраль[14],Февраль[Периодичность])</f>
        <v>0</v>
      </c>
      <c r="S13" s="30">
        <f>SUMPRODUCT((Февраль[№]=1)*Февраль[15],Февраль[Периодичность])</f>
        <v>0</v>
      </c>
      <c r="T13" s="30">
        <f>SUMPRODUCT((Февраль[№]=1)*Февраль[16],Февраль[Периодичность])</f>
        <v>0</v>
      </c>
      <c r="U13" s="30">
        <f>SUMPRODUCT((Февраль[№]=1)*Февраль[17],Февраль[Периодичность])</f>
        <v>0</v>
      </c>
      <c r="V13" s="30">
        <f>SUMPRODUCT((Февраль[№]=1)*Февраль[18],Февраль[Периодичность])</f>
        <v>0</v>
      </c>
      <c r="W13" s="30">
        <f>SUMPRODUCT((Февраль[№]=1)*Февраль[19],Февраль[Периодичность])</f>
        <v>0</v>
      </c>
      <c r="X13" s="30">
        <f>SUMPRODUCT((Февраль[№]=1)*Февраль[20],Февраль[Периодичность])</f>
        <v>0</v>
      </c>
      <c r="Y13" s="30">
        <f>SUMPRODUCT((Февраль[№]=1)*Февраль[21],Февраль[Периодичность])</f>
        <v>0</v>
      </c>
      <c r="Z13" s="30">
        <f>SUMPRODUCT((Февраль[№]=1)*Февраль[22],Февраль[Периодичность])</f>
        <v>0</v>
      </c>
      <c r="AA13" s="30">
        <f>SUMPRODUCT((Февраль[№]=1)*Февраль[23],Февраль[Периодичность])</f>
        <v>0</v>
      </c>
      <c r="AB13" s="30">
        <f>SUMPRODUCT((Февраль[№]=1)*Февраль[24],Февраль[Периодичность])</f>
        <v>0</v>
      </c>
      <c r="AC13" s="30">
        <f>SUMPRODUCT((Февраль[№]=1)*Февраль[25],Февраль[Периодичность])</f>
        <v>0</v>
      </c>
      <c r="AD13" s="30">
        <f>SUMPRODUCT((Февраль[№]=1)*Февраль[26],Февраль[Периодичность])</f>
        <v>0</v>
      </c>
      <c r="AE13" s="30">
        <f>SUMPRODUCT((Февраль[№]=1)*Февраль[27],Февраль[Периодичность])</f>
        <v>0</v>
      </c>
      <c r="AF13" s="30">
        <f>SUMPRODUCT((Февраль[№]=1)*Февраль[28],Февраль[Периодичность])</f>
        <v>0</v>
      </c>
      <c r="AG13" s="30">
        <f>SUMPRODUCT((Февраль[№]=1)*Февраль[29],Февраль[Периодичность])</f>
        <v>0</v>
      </c>
    </row>
    <row r="14" spans="1:37" ht="20.25" customHeight="1" x14ac:dyDescent="0.25">
      <c r="B14" s="3">
        <f>SUMPRODUCT((Настройки!$E$22:$AG$22=2)*E16:AG16)</f>
        <v>0</v>
      </c>
      <c r="D14" s="5">
        <v>2</v>
      </c>
      <c r="E14" s="3">
        <f>SUMPRODUCT((Февраль[№]=2)*Февраль[1],Февраль[Периодичность])</f>
        <v>0</v>
      </c>
      <c r="F14" s="30">
        <f>SUMPRODUCT((Февраль[№]=2)*Февраль[2],Февраль[Периодичность])</f>
        <v>0</v>
      </c>
      <c r="G14" s="30">
        <f>SUMPRODUCT((Февраль[№]=2)*Февраль[3],Февраль[Периодичность])</f>
        <v>0</v>
      </c>
      <c r="H14" s="30">
        <f>SUMPRODUCT((Февраль[№]=2)*Февраль[4],Февраль[Периодичность])</f>
        <v>0</v>
      </c>
      <c r="I14" s="30">
        <f>SUMPRODUCT((Февраль[№]=2)*Февраль[5],Февраль[Периодичность])</f>
        <v>0</v>
      </c>
      <c r="J14" s="30">
        <f>SUMPRODUCT((Февраль[№]=2)*Февраль[6],Февраль[Периодичность])</f>
        <v>0</v>
      </c>
      <c r="K14" s="30">
        <f>SUMPRODUCT((Февраль[№]=2)*Февраль[7],Февраль[Периодичность])</f>
        <v>0</v>
      </c>
      <c r="L14" s="30">
        <f>SUMPRODUCT((Февраль[№]=2)*Февраль[8],Февраль[Периодичность])</f>
        <v>0</v>
      </c>
      <c r="M14" s="30">
        <f>SUMPRODUCT((Февраль[№]=2)*Февраль[9],Февраль[Периодичность])</f>
        <v>0</v>
      </c>
      <c r="N14" s="30">
        <f>SUMPRODUCT((Февраль[№]=2)*Февраль[10],Февраль[Периодичность])</f>
        <v>0</v>
      </c>
      <c r="O14" s="30">
        <f>SUMPRODUCT((Февраль[№]=2)*Февраль[11],Февраль[Периодичность])</f>
        <v>0</v>
      </c>
      <c r="P14" s="30">
        <f>SUMPRODUCT((Февраль[№]=2)*Февраль[12],Февраль[Периодичность])</f>
        <v>0</v>
      </c>
      <c r="Q14" s="30">
        <f>SUMPRODUCT((Февраль[№]=2)*Февраль[13],Февраль[Периодичность])</f>
        <v>0</v>
      </c>
      <c r="R14" s="30">
        <f>SUMPRODUCT((Февраль[№]=2)*Февраль[14],Февраль[Периодичность])</f>
        <v>0</v>
      </c>
      <c r="S14" s="30">
        <f>SUMPRODUCT((Февраль[№]=2)*Февраль[15],Февраль[Периодичность])</f>
        <v>0</v>
      </c>
      <c r="T14" s="30">
        <f>SUMPRODUCT((Февраль[№]=2)*Февраль[16],Февраль[Периодичность])</f>
        <v>0</v>
      </c>
      <c r="U14" s="30">
        <f>SUMPRODUCT((Февраль[№]=2)*Февраль[17],Февраль[Периодичность])</f>
        <v>0</v>
      </c>
      <c r="V14" s="30">
        <f>SUMPRODUCT((Февраль[№]=2)*Февраль[18],Февраль[Периодичность])</f>
        <v>0</v>
      </c>
      <c r="W14" s="30">
        <f>SUMPRODUCT((Февраль[№]=2)*Февраль[19],Февраль[Периодичность])</f>
        <v>0</v>
      </c>
      <c r="X14" s="30">
        <f>SUMPRODUCT((Февраль[№]=2)*Февраль[20],Февраль[Периодичность])</f>
        <v>0</v>
      </c>
      <c r="Y14" s="30">
        <f>SUMPRODUCT((Февраль[№]=2)*Февраль[21],Февраль[Периодичность])</f>
        <v>0</v>
      </c>
      <c r="Z14" s="30">
        <f>SUMPRODUCT((Февраль[№]=2)*Февраль[22],Февраль[Периодичность])</f>
        <v>0</v>
      </c>
      <c r="AA14" s="30">
        <f>SUMPRODUCT((Февраль[№]=2)*Февраль[23],Февраль[Периодичность])</f>
        <v>0</v>
      </c>
      <c r="AB14" s="30">
        <f>SUMPRODUCT((Февраль[№]=2)*Февраль[24],Февраль[Периодичность])</f>
        <v>0</v>
      </c>
      <c r="AC14" s="30">
        <f>SUMPRODUCT((Февраль[№]=2)*Февраль[25],Февраль[Периодичность])</f>
        <v>0</v>
      </c>
      <c r="AD14" s="30">
        <f>SUMPRODUCT((Февраль[№]=2)*Февраль[26],Февраль[Периодичность])</f>
        <v>0</v>
      </c>
      <c r="AE14" s="30">
        <f>SUMPRODUCT((Февраль[№]=2)*Февраль[27],Февраль[Периодичность])</f>
        <v>0</v>
      </c>
      <c r="AF14" s="30">
        <f>SUMPRODUCT((Февраль[№]=2)*Февраль[28],Февраль[Периодичность])</f>
        <v>0</v>
      </c>
      <c r="AG14" s="30">
        <f>SUMPRODUCT((Февраль[№]=2)*Февраль[29],Февраль[Периодичность])</f>
        <v>0</v>
      </c>
    </row>
    <row r="15" spans="1:37" ht="22.5" customHeight="1" x14ac:dyDescent="0.25">
      <c r="B15" s="3">
        <f>SUMPRODUCT((Настройки!$E$22:$AG$22=3)*E16:AG16)</f>
        <v>0</v>
      </c>
      <c r="D15" s="5">
        <v>3</v>
      </c>
      <c r="E15" s="3">
        <f>SUMPRODUCT((Февраль[№]=3)*Февраль[1],Февраль[Периодичность])</f>
        <v>0</v>
      </c>
      <c r="F15" s="30">
        <f>SUMPRODUCT((Февраль[№]=3)*Февраль[2],Февраль[Периодичность])</f>
        <v>0</v>
      </c>
      <c r="G15" s="30">
        <f>SUMPRODUCT((Февраль[№]=3)*Февраль[3],Февраль[Периодичность])</f>
        <v>0</v>
      </c>
      <c r="H15" s="30">
        <f>SUMPRODUCT((Февраль[№]=3)*Февраль[4],Февраль[Периодичность])</f>
        <v>0</v>
      </c>
      <c r="I15" s="30">
        <f>SUMPRODUCT((Февраль[№]=3)*Февраль[5],Февраль[Периодичность])</f>
        <v>0</v>
      </c>
      <c r="J15" s="30">
        <f>SUMPRODUCT((Февраль[№]=3)*Февраль[6],Февраль[Периодичность])</f>
        <v>0</v>
      </c>
      <c r="K15" s="30">
        <f>SUMPRODUCT((Февраль[№]=3)*Февраль[7],Февраль[Периодичность])</f>
        <v>0</v>
      </c>
      <c r="L15" s="30">
        <f>SUMPRODUCT((Февраль[№]=3)*Февраль[8],Февраль[Периодичность])</f>
        <v>0</v>
      </c>
      <c r="M15" s="30">
        <f>SUMPRODUCT((Февраль[№]=3)*Февраль[9],Февраль[Периодичность])</f>
        <v>0</v>
      </c>
      <c r="N15" s="30">
        <f>SUMPRODUCT((Февраль[№]=3)*Февраль[10],Февраль[Периодичность])</f>
        <v>0</v>
      </c>
      <c r="O15" s="30">
        <f>SUMPRODUCT((Февраль[№]=3)*Февраль[11],Февраль[Периодичность])</f>
        <v>0</v>
      </c>
      <c r="P15" s="30">
        <f>SUMPRODUCT((Февраль[№]=3)*Февраль[12],Февраль[Периодичность])</f>
        <v>0</v>
      </c>
      <c r="Q15" s="30">
        <f>SUMPRODUCT((Февраль[№]=3)*Февраль[13],Февраль[Периодичность])</f>
        <v>0</v>
      </c>
      <c r="R15" s="30">
        <f>SUMPRODUCT((Февраль[№]=3)*Февраль[14],Февраль[Периодичность])</f>
        <v>0</v>
      </c>
      <c r="S15" s="30">
        <f>SUMPRODUCT((Февраль[№]=3)*Февраль[15],Февраль[Периодичность])</f>
        <v>0</v>
      </c>
      <c r="T15" s="30">
        <f>SUMPRODUCT((Февраль[№]=3)*Февраль[16],Февраль[Периодичность])</f>
        <v>0</v>
      </c>
      <c r="U15" s="30">
        <f>SUMPRODUCT((Февраль[№]=3)*Февраль[17],Февраль[Периодичность])</f>
        <v>0</v>
      </c>
      <c r="V15" s="30">
        <f>SUMPRODUCT((Февраль[№]=3)*Февраль[18],Февраль[Периодичность])</f>
        <v>0</v>
      </c>
      <c r="W15" s="30">
        <f>SUMPRODUCT((Февраль[№]=3)*Февраль[19],Февраль[Периодичность])</f>
        <v>0</v>
      </c>
      <c r="X15" s="30">
        <f>SUMPRODUCT((Февраль[№]=3)*Февраль[20],Февраль[Периодичность])</f>
        <v>0</v>
      </c>
      <c r="Y15" s="30">
        <f>SUMPRODUCT((Февраль[№]=3)*Февраль[21],Февраль[Периодичность])</f>
        <v>0</v>
      </c>
      <c r="Z15" s="30">
        <f>SUMPRODUCT((Февраль[№]=3)*Февраль[22],Февраль[Периодичность])</f>
        <v>0</v>
      </c>
      <c r="AA15" s="30">
        <f>SUMPRODUCT((Февраль[№]=3)*Февраль[23],Февраль[Периодичность])</f>
        <v>0</v>
      </c>
      <c r="AB15" s="30">
        <f>SUMPRODUCT((Февраль[№]=3)*Февраль[24],Февраль[Периодичность])</f>
        <v>0</v>
      </c>
      <c r="AC15" s="30">
        <f>SUMPRODUCT((Февраль[№]=3)*Февраль[25],Февраль[Периодичность])</f>
        <v>0</v>
      </c>
      <c r="AD15" s="30">
        <f>SUMPRODUCT((Февраль[№]=3)*Февраль[26],Февраль[Периодичность])</f>
        <v>0</v>
      </c>
      <c r="AE15" s="30">
        <f>SUMPRODUCT((Февраль[№]=3)*Февраль[27],Февраль[Периодичность])</f>
        <v>0</v>
      </c>
      <c r="AF15" s="30">
        <f>SUMPRODUCT((Февраль[№]=3)*Февраль[28],Февраль[Периодичность])</f>
        <v>0</v>
      </c>
      <c r="AG15" s="30">
        <f>SUMPRODUCT((Февраль[№]=3)*Февраль[29],Февраль[Периодичность])</f>
        <v>0</v>
      </c>
      <c r="AI15" s="11"/>
    </row>
    <row r="16" spans="1:37" ht="18" customHeight="1" x14ac:dyDescent="0.25">
      <c r="B16" s="3">
        <f>SUMPRODUCT((Настройки!$E$22:$AG$22=4)*E16:AG16)</f>
        <v>0</v>
      </c>
      <c r="D16" s="5"/>
      <c r="E16" s="3">
        <f t="shared" ref="E16:AG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I16" s="11"/>
    </row>
    <row r="17" spans="1:35" ht="21.75" customHeight="1" x14ac:dyDescent="0.25">
      <c r="B17" s="3">
        <f>SUMPRODUCT((Настройки!$E$22:$AG$22=5)*E16:AG16)</f>
        <v>0</v>
      </c>
      <c r="C17" s="5">
        <f>ФевральИтоги[[#This Row],[№]]*60</f>
        <v>0</v>
      </c>
      <c r="D17" s="7">
        <f>SUM(ФевральИтоги[[#This Row],[1]:[29]])</f>
        <v>0</v>
      </c>
      <c r="E17" s="6">
        <f>E16/60</f>
        <v>0</v>
      </c>
      <c r="F17" s="31">
        <f t="shared" ref="F17:AG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5">
        <f ca="1">SUM(Февраль[УСЛУГ])</f>
        <v>0</v>
      </c>
      <c r="AI17" s="21">
        <f ca="1">SUM(Февраль[МИНУТ])</f>
        <v>0</v>
      </c>
    </row>
    <row r="19" spans="1:35" x14ac:dyDescent="0.25">
      <c r="A19" s="49" t="s">
        <v>52</v>
      </c>
      <c r="B19" s="49" t="s">
        <v>53</v>
      </c>
      <c r="C19" s="50"/>
      <c r="D19" s="51" t="s">
        <v>67</v>
      </c>
      <c r="E19" s="49" t="s">
        <v>55</v>
      </c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39" t="s">
        <v>70</v>
      </c>
      <c r="AI19" s="39" t="s">
        <v>70</v>
      </c>
    </row>
    <row r="20" spans="1:35" ht="15.75" customHeight="1" x14ac:dyDescent="0.25">
      <c r="A20" s="49"/>
      <c r="B20" s="49"/>
      <c r="C20" s="50"/>
      <c r="D20" s="52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39"/>
    </row>
    <row r="21" spans="1:35" x14ac:dyDescent="0.25">
      <c r="A21" s="49"/>
      <c r="B21" s="49"/>
      <c r="C21" s="50"/>
      <c r="D21" s="52"/>
      <c r="E21" s="23">
        <f>Настройки!E8</f>
        <v>44958</v>
      </c>
      <c r="F21" s="23">
        <f>Настройки!F8</f>
        <v>44959</v>
      </c>
      <c r="G21" s="23">
        <f>Настройки!G8</f>
        <v>44960</v>
      </c>
      <c r="H21" s="23">
        <f>Настройки!H8</f>
        <v>44961</v>
      </c>
      <c r="I21" s="23">
        <f>Настройки!I8</f>
        <v>44962</v>
      </c>
      <c r="J21" s="23">
        <f>Настройки!J8</f>
        <v>44963</v>
      </c>
      <c r="K21" s="23">
        <f>Настройки!K8</f>
        <v>44964</v>
      </c>
      <c r="L21" s="23">
        <f>Настройки!L8</f>
        <v>44965</v>
      </c>
      <c r="M21" s="23">
        <f>Настройки!M8</f>
        <v>44966</v>
      </c>
      <c r="N21" s="23">
        <f>Настройки!N8</f>
        <v>44967</v>
      </c>
      <c r="O21" s="23">
        <f>Настройки!O8</f>
        <v>44968</v>
      </c>
      <c r="P21" s="23">
        <f>Настройки!P8</f>
        <v>44969</v>
      </c>
      <c r="Q21" s="23">
        <f>Настройки!Q8</f>
        <v>44970</v>
      </c>
      <c r="R21" s="23">
        <f>Настройки!R8</f>
        <v>44971</v>
      </c>
      <c r="S21" s="23">
        <f>Настройки!S8</f>
        <v>44972</v>
      </c>
      <c r="T21" s="23">
        <f>Настройки!T8</f>
        <v>44973</v>
      </c>
      <c r="U21" s="23">
        <f>Настройки!U8</f>
        <v>44974</v>
      </c>
      <c r="V21" s="23">
        <f>Настройки!V8</f>
        <v>44975</v>
      </c>
      <c r="W21" s="23">
        <f>Настройки!W8</f>
        <v>44976</v>
      </c>
      <c r="X21" s="23">
        <f>Настройки!X8</f>
        <v>44977</v>
      </c>
      <c r="Y21" s="23">
        <f>Настройки!Y8</f>
        <v>44978</v>
      </c>
      <c r="Z21" s="23">
        <f>Настройки!Z8</f>
        <v>44979</v>
      </c>
      <c r="AA21" s="23">
        <f>Настройки!AA8</f>
        <v>44980</v>
      </c>
      <c r="AB21" s="23">
        <f>Настройки!AB8</f>
        <v>44981</v>
      </c>
      <c r="AC21" s="23">
        <f>Настройки!AC8</f>
        <v>44982</v>
      </c>
      <c r="AD21" s="23">
        <f>Настройки!AD8</f>
        <v>44983</v>
      </c>
      <c r="AE21" s="23">
        <f>Настройки!AE8</f>
        <v>44984</v>
      </c>
      <c r="AF21" s="23">
        <f>Настройки!AF8</f>
        <v>44985</v>
      </c>
      <c r="AG21" s="23" t="str">
        <f>Настройки!AG8</f>
        <v/>
      </c>
      <c r="AH21" s="65"/>
      <c r="AI21" s="39"/>
    </row>
    <row r="22" spans="1:35" x14ac:dyDescent="0.25">
      <c r="A22" s="49"/>
      <c r="B22" s="49"/>
      <c r="C22" s="50"/>
      <c r="D22" s="52"/>
      <c r="E22" s="49" t="s">
        <v>54</v>
      </c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39"/>
    </row>
    <row r="23" spans="1:35" x14ac:dyDescent="0.25">
      <c r="A23" s="49"/>
      <c r="B23" s="49"/>
      <c r="C23" s="50"/>
      <c r="D23" s="52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39"/>
    </row>
    <row r="24" spans="1:35" ht="23.25" customHeight="1" x14ac:dyDescent="0.25">
      <c r="A24" s="3" t="s">
        <v>65</v>
      </c>
      <c r="B24" s="2" t="s">
        <v>63</v>
      </c>
      <c r="C24" s="3" t="s">
        <v>64</v>
      </c>
      <c r="D24" s="9" t="s">
        <v>66</v>
      </c>
      <c r="E24" s="3" t="s">
        <v>89</v>
      </c>
      <c r="F24" s="3" t="s">
        <v>90</v>
      </c>
      <c r="G24" s="3" t="s">
        <v>91</v>
      </c>
      <c r="H24" s="3" t="s">
        <v>92</v>
      </c>
      <c r="I24" s="3" t="s">
        <v>93</v>
      </c>
      <c r="J24" s="3" t="s">
        <v>94</v>
      </c>
      <c r="K24" s="3" t="s">
        <v>95</v>
      </c>
      <c r="L24" s="3" t="s">
        <v>96</v>
      </c>
      <c r="M24" s="3" t="s">
        <v>97</v>
      </c>
      <c r="N24" s="3" t="s">
        <v>98</v>
      </c>
      <c r="O24" s="3" t="s">
        <v>99</v>
      </c>
      <c r="P24" s="3" t="s">
        <v>100</v>
      </c>
      <c r="Q24" s="3" t="s">
        <v>101</v>
      </c>
      <c r="R24" s="3" t="s">
        <v>102</v>
      </c>
      <c r="S24" s="3" t="s">
        <v>103</v>
      </c>
      <c r="T24" s="3" t="s">
        <v>104</v>
      </c>
      <c r="U24" s="3" t="s">
        <v>105</v>
      </c>
      <c r="V24" s="3" t="s">
        <v>106</v>
      </c>
      <c r="W24" s="3" t="s">
        <v>107</v>
      </c>
      <c r="X24" s="3" t="s">
        <v>108</v>
      </c>
      <c r="Y24" s="3" t="s">
        <v>109</v>
      </c>
      <c r="Z24" s="3" t="s">
        <v>110</v>
      </c>
      <c r="AA24" s="3" t="s">
        <v>111</v>
      </c>
      <c r="AB24" s="3" t="s">
        <v>112</v>
      </c>
      <c r="AC24" s="3" t="s">
        <v>113</v>
      </c>
      <c r="AD24" s="3" t="s">
        <v>114</v>
      </c>
      <c r="AE24" s="3" t="s">
        <v>115</v>
      </c>
      <c r="AF24" s="3" t="s">
        <v>116</v>
      </c>
      <c r="AG24" s="3" t="s">
        <v>117</v>
      </c>
      <c r="AH24" s="3" t="s">
        <v>68</v>
      </c>
      <c r="AI24" s="3" t="s">
        <v>69</v>
      </c>
    </row>
    <row r="25" spans="1:35" ht="31.5" x14ac:dyDescent="0.25">
      <c r="A25" s="16" t="s">
        <v>1</v>
      </c>
      <c r="B25" s="2" t="s">
        <v>56</v>
      </c>
      <c r="C25" s="32">
        <v>60</v>
      </c>
      <c r="D25" s="11">
        <v>1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25" s="5">
        <f ca="1">IF(Февраль[[#This Row],[УСЛУГ]]&lt;&gt;"",Февраль[[#This Row],[УСЛУГ]]*Февраль[[#This Row],[Периодичность]],"")</f>
        <v>0</v>
      </c>
    </row>
    <row r="26" spans="1:35" x14ac:dyDescent="0.25">
      <c r="A26" s="16"/>
      <c r="B26" s="2"/>
      <c r="C26" s="32">
        <v>60</v>
      </c>
      <c r="D26" s="11">
        <v>2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26" s="5" t="str">
        <f ca="1">IF(Февраль[[#This Row],[УСЛУГ]]&lt;&gt;"",Февраль[[#This Row],[УСЛУГ]]*Февраль[[#This Row],[Периодичность]],"")</f>
        <v/>
      </c>
    </row>
    <row r="27" spans="1:35" x14ac:dyDescent="0.25">
      <c r="A27" s="16"/>
      <c r="B27" s="2"/>
      <c r="C27" s="32">
        <v>60</v>
      </c>
      <c r="D27" s="11">
        <v>3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27" s="5" t="str">
        <f ca="1">IF(Февраль[[#This Row],[УСЛУГ]]&lt;&gt;"",Февраль[[#This Row],[УСЛУГ]]*Февраль[[#This Row],[Периодичность]],"")</f>
        <v/>
      </c>
    </row>
    <row r="28" spans="1:35" ht="31.5" x14ac:dyDescent="0.25">
      <c r="A28" s="16" t="s">
        <v>3</v>
      </c>
      <c r="B28" s="2" t="s">
        <v>58</v>
      </c>
      <c r="C28" s="32">
        <v>10</v>
      </c>
      <c r="D28" s="11">
        <v>1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28" s="5">
        <f ca="1">IF(Февраль[[#This Row],[УСЛУГ]]&lt;&gt;"",Февраль[[#This Row],[УСЛУГ]]*Февраль[[#This Row],[Периодичность]],"")</f>
        <v>0</v>
      </c>
    </row>
    <row r="29" spans="1:35" x14ac:dyDescent="0.25">
      <c r="A29" s="16"/>
      <c r="B29" s="2"/>
      <c r="C29" s="32">
        <v>10</v>
      </c>
      <c r="D29" s="11">
        <v>2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29" s="5" t="str">
        <f ca="1">IF(Февраль[[#This Row],[УСЛУГ]]&lt;&gt;"",Февраль[[#This Row],[УСЛУГ]]*Февраль[[#This Row],[Периодичность]],"")</f>
        <v/>
      </c>
    </row>
    <row r="30" spans="1:35" x14ac:dyDescent="0.25">
      <c r="A30" s="16"/>
      <c r="B30" s="2"/>
      <c r="C30" s="32">
        <v>10</v>
      </c>
      <c r="D30" s="11">
        <v>3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30" s="5" t="str">
        <f ca="1">IF(Февраль[[#This Row],[УСЛУГ]]&lt;&gt;"",Февраль[[#This Row],[УСЛУГ]]*Февраль[[#This Row],[Периодичность]],"")</f>
        <v/>
      </c>
    </row>
    <row r="31" spans="1:35" x14ac:dyDescent="0.25">
      <c r="A31" s="16" t="s">
        <v>5</v>
      </c>
      <c r="B31" s="2" t="s">
        <v>58</v>
      </c>
      <c r="C31" s="32">
        <v>30</v>
      </c>
      <c r="D31" s="11">
        <v>1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31" s="5">
        <f ca="1">IF(Февраль[[#This Row],[УСЛУГ]]&lt;&gt;"",Февраль[[#This Row],[УСЛУГ]]*Февраль[[#This Row],[Периодичность]],"")</f>
        <v>0</v>
      </c>
    </row>
    <row r="32" spans="1:35" x14ac:dyDescent="0.25">
      <c r="A32" s="16"/>
      <c r="B32" s="2"/>
      <c r="C32" s="32">
        <v>30</v>
      </c>
      <c r="D32" s="11">
        <v>2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32" s="5" t="str">
        <f ca="1">IF(Февраль[[#This Row],[УСЛУГ]]&lt;&gt;"",Февраль[[#This Row],[УСЛУГ]]*Февраль[[#This Row],[Периодичность]],"")</f>
        <v/>
      </c>
    </row>
    <row r="33" spans="1:35" x14ac:dyDescent="0.25">
      <c r="A33" s="16"/>
      <c r="B33" s="2"/>
      <c r="C33" s="32">
        <v>30</v>
      </c>
      <c r="D33" s="11">
        <v>3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33" s="5" t="str">
        <f ca="1">IF(Февраль[[#This Row],[УСЛУГ]]&lt;&gt;"",Февраль[[#This Row],[УСЛУГ]]*Февраль[[#This Row],[Периодичность]],"")</f>
        <v/>
      </c>
    </row>
    <row r="34" spans="1:35" ht="47.25" x14ac:dyDescent="0.25">
      <c r="A34" s="16" t="s">
        <v>85</v>
      </c>
      <c r="B34" s="2" t="s">
        <v>58</v>
      </c>
      <c r="C34" s="32">
        <v>3</v>
      </c>
      <c r="D34" s="11">
        <v>1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34" s="5">
        <f ca="1">IF(Февраль[[#This Row],[УСЛУГ]]&lt;&gt;"",Февраль[[#This Row],[УСЛУГ]]*Февраль[[#This Row],[Периодичность]],"")</f>
        <v>0</v>
      </c>
    </row>
    <row r="35" spans="1:35" x14ac:dyDescent="0.25">
      <c r="A35" s="16"/>
      <c r="B35" s="2"/>
      <c r="C35" s="32">
        <v>3</v>
      </c>
      <c r="D35" s="11">
        <v>2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35" s="5" t="str">
        <f ca="1">IF(Февраль[[#This Row],[УСЛУГ]]&lt;&gt;"",Февраль[[#This Row],[УСЛУГ]]*Февраль[[#This Row],[Периодичность]],"")</f>
        <v/>
      </c>
    </row>
    <row r="36" spans="1:35" x14ac:dyDescent="0.25">
      <c r="A36" s="16"/>
      <c r="B36" s="2"/>
      <c r="C36" s="32">
        <v>3</v>
      </c>
      <c r="D36" s="11">
        <v>3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36" s="5" t="str">
        <f ca="1">IF(Февраль[[#This Row],[УСЛУГ]]&lt;&gt;"",Февраль[[#This Row],[УСЛУГ]]*Февраль[[#This Row],[Периодичность]],"")</f>
        <v/>
      </c>
    </row>
    <row r="37" spans="1:35" x14ac:dyDescent="0.25">
      <c r="A37" s="16" t="s">
        <v>8</v>
      </c>
      <c r="B37" s="2" t="s">
        <v>59</v>
      </c>
      <c r="C37" s="32">
        <v>15</v>
      </c>
      <c r="D37" s="11">
        <v>1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37" s="5">
        <f ca="1">IF(Февраль[[#This Row],[УСЛУГ]]&lt;&gt;"",Февраль[[#This Row],[УСЛУГ]]*Февраль[[#This Row],[Периодичность]],"")</f>
        <v>0</v>
      </c>
    </row>
    <row r="38" spans="1:35" x14ac:dyDescent="0.25">
      <c r="A38" s="16"/>
      <c r="B38" s="2"/>
      <c r="C38" s="32">
        <v>15</v>
      </c>
      <c r="D38" s="11">
        <v>2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38" s="5" t="str">
        <f ca="1">IF(Февраль[[#This Row],[УСЛУГ]]&lt;&gt;"",Февраль[[#This Row],[УСЛУГ]]*Февраль[[#This Row],[Периодичность]],"")</f>
        <v/>
      </c>
    </row>
    <row r="39" spans="1:35" x14ac:dyDescent="0.25">
      <c r="A39" s="16"/>
      <c r="B39" s="2"/>
      <c r="C39" s="32">
        <v>15</v>
      </c>
      <c r="D39" s="11">
        <v>3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39" s="5" t="str">
        <f ca="1">IF(Февраль[[#This Row],[УСЛУГ]]&lt;&gt;"",Февраль[[#This Row],[УСЛУГ]]*Февраль[[#This Row],[Периодичность]],"")</f>
        <v/>
      </c>
    </row>
    <row r="40" spans="1:35" ht="47.25" x14ac:dyDescent="0.25">
      <c r="A40" s="16" t="s">
        <v>84</v>
      </c>
      <c r="B40" s="2" t="s">
        <v>61</v>
      </c>
      <c r="C40" s="32">
        <v>49</v>
      </c>
      <c r="D40" s="11">
        <v>1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40" s="5">
        <f ca="1">IF(Февраль[[#This Row],[УСЛУГ]]&lt;&gt;"",Февраль[[#This Row],[УСЛУГ]]*Февраль[[#This Row],[Периодичность]],"")</f>
        <v>0</v>
      </c>
    </row>
    <row r="41" spans="1:35" x14ac:dyDescent="0.25">
      <c r="A41" s="16"/>
      <c r="B41" s="2"/>
      <c r="C41" s="32">
        <v>49</v>
      </c>
      <c r="D41" s="11">
        <v>2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41" s="5" t="str">
        <f ca="1">IF(Февраль[[#This Row],[УСЛУГ]]&lt;&gt;"",Февраль[[#This Row],[УСЛУГ]]*Февраль[[#This Row],[Периодичность]],"")</f>
        <v/>
      </c>
    </row>
    <row r="42" spans="1:35" x14ac:dyDescent="0.25">
      <c r="A42" s="16"/>
      <c r="B42" s="2"/>
      <c r="C42" s="32">
        <v>49</v>
      </c>
      <c r="D42" s="11">
        <v>3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42" s="5" t="str">
        <f ca="1">IF(Февраль[[#This Row],[УСЛУГ]]&lt;&gt;"",Февраль[[#This Row],[УСЛУГ]]*Февраль[[#This Row],[Периодичность]],"")</f>
        <v/>
      </c>
    </row>
    <row r="43" spans="1:35" ht="31.5" x14ac:dyDescent="0.25">
      <c r="A43" s="16" t="s">
        <v>13</v>
      </c>
      <c r="B43" s="2" t="s">
        <v>59</v>
      </c>
      <c r="C43" s="32">
        <v>12</v>
      </c>
      <c r="D43" s="11">
        <v>1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43" s="5">
        <f ca="1">IF(Февраль[[#This Row],[УСЛУГ]]&lt;&gt;"",Февраль[[#This Row],[УСЛУГ]]*Февраль[[#This Row],[Периодичность]],"")</f>
        <v>0</v>
      </c>
    </row>
    <row r="44" spans="1:35" x14ac:dyDescent="0.25">
      <c r="A44" s="16"/>
      <c r="B44" s="2"/>
      <c r="C44" s="32">
        <v>12</v>
      </c>
      <c r="D44" s="11">
        <v>2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44" s="5" t="str">
        <f ca="1">IF(Февраль[[#This Row],[УСЛУГ]]&lt;&gt;"",Февраль[[#This Row],[УСЛУГ]]*Февраль[[#This Row],[Периодичность]],"")</f>
        <v/>
      </c>
    </row>
    <row r="45" spans="1:35" x14ac:dyDescent="0.25">
      <c r="A45" s="16"/>
      <c r="B45" s="2"/>
      <c r="C45" s="32">
        <v>12</v>
      </c>
      <c r="D45" s="11">
        <v>3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45" s="5" t="str">
        <f ca="1">IF(Февраль[[#This Row],[УСЛУГ]]&lt;&gt;"",Февраль[[#This Row],[УСЛУГ]]*Февраль[[#This Row],[Периодичность]],"")</f>
        <v/>
      </c>
    </row>
    <row r="46" spans="1:35" x14ac:dyDescent="0.25">
      <c r="A46" s="16" t="s">
        <v>16</v>
      </c>
      <c r="B46" s="2" t="s">
        <v>59</v>
      </c>
      <c r="C46" s="32">
        <v>15</v>
      </c>
      <c r="D46" s="11">
        <v>1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46" s="5">
        <f ca="1">IF(Февраль[[#This Row],[УСЛУГ]]&lt;&gt;"",Февраль[[#This Row],[УСЛУГ]]*Февраль[[#This Row],[Периодичность]],"")</f>
        <v>0</v>
      </c>
    </row>
    <row r="47" spans="1:35" x14ac:dyDescent="0.25">
      <c r="A47" s="16"/>
      <c r="B47" s="2"/>
      <c r="C47" s="32">
        <v>15</v>
      </c>
      <c r="D47" s="11">
        <v>2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47" s="5" t="str">
        <f ca="1">IF(Февраль[[#This Row],[УСЛУГ]]&lt;&gt;"",Февраль[[#This Row],[УСЛУГ]]*Февраль[[#This Row],[Периодичность]],"")</f>
        <v/>
      </c>
    </row>
    <row r="48" spans="1:35" x14ac:dyDescent="0.25">
      <c r="A48" s="16"/>
      <c r="B48" s="2"/>
      <c r="C48" s="32">
        <v>15</v>
      </c>
      <c r="D48" s="11">
        <v>3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48" s="5" t="str">
        <f ca="1">IF(Февраль[[#This Row],[УСЛУГ]]&lt;&gt;"",Февраль[[#This Row],[УСЛУГ]]*Февраль[[#This Row],[Периодичность]],"")</f>
        <v/>
      </c>
    </row>
    <row r="49" spans="1:35" ht="31.5" x14ac:dyDescent="0.25">
      <c r="A49" s="16" t="s">
        <v>25</v>
      </c>
      <c r="B49" s="2" t="s">
        <v>59</v>
      </c>
      <c r="C49" s="32">
        <v>10</v>
      </c>
      <c r="D49" s="11">
        <v>1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49" s="5">
        <f ca="1">IF(Февраль[[#This Row],[УСЛУГ]]&lt;&gt;"",Февраль[[#This Row],[УСЛУГ]]*Февраль[[#This Row],[Периодичность]],"")</f>
        <v>0</v>
      </c>
    </row>
    <row r="50" spans="1:35" x14ac:dyDescent="0.25">
      <c r="A50" s="16"/>
      <c r="B50" s="2"/>
      <c r="C50" s="32">
        <v>10</v>
      </c>
      <c r="D50" s="11">
        <v>2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50" s="5" t="str">
        <f ca="1">IF(Февраль[[#This Row],[УСЛУГ]]&lt;&gt;"",Февраль[[#This Row],[УСЛУГ]]*Февраль[[#This Row],[Периодичность]],"")</f>
        <v/>
      </c>
    </row>
    <row r="51" spans="1:35" x14ac:dyDescent="0.25">
      <c r="A51" s="16"/>
      <c r="B51" s="2"/>
      <c r="C51" s="32">
        <v>10</v>
      </c>
      <c r="D51" s="11">
        <v>3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51" s="5" t="str">
        <f ca="1">IF(Февраль[[#This Row],[УСЛУГ]]&lt;&gt;"",Февраль[[#This Row],[УСЛУГ]]*Февраль[[#This Row],[Периодичность]],"")</f>
        <v/>
      </c>
    </row>
    <row r="52" spans="1:35" ht="31.5" x14ac:dyDescent="0.25">
      <c r="A52" s="16" t="s">
        <v>27</v>
      </c>
      <c r="B52" s="2" t="s">
        <v>59</v>
      </c>
      <c r="C52" s="32">
        <v>15</v>
      </c>
      <c r="D52" s="11">
        <v>1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52" s="5">
        <f ca="1">IF(Февраль[[#This Row],[УСЛУГ]]&lt;&gt;"",Февраль[[#This Row],[УСЛУГ]]*Февраль[[#This Row],[Периодичность]],"")</f>
        <v>0</v>
      </c>
    </row>
    <row r="53" spans="1:35" x14ac:dyDescent="0.25">
      <c r="A53" s="16"/>
      <c r="B53" s="2"/>
      <c r="C53" s="32">
        <v>15</v>
      </c>
      <c r="D53" s="11">
        <v>2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53" s="5" t="str">
        <f ca="1">IF(Февраль[[#This Row],[УСЛУГ]]&lt;&gt;"",Февраль[[#This Row],[УСЛУГ]]*Февраль[[#This Row],[Периодичность]],"")</f>
        <v/>
      </c>
    </row>
    <row r="54" spans="1:35" x14ac:dyDescent="0.25">
      <c r="A54" s="16"/>
      <c r="B54" s="2"/>
      <c r="C54" s="32">
        <v>15</v>
      </c>
      <c r="D54" s="11">
        <v>3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54" s="5" t="str">
        <f ca="1">IF(Февраль[[#This Row],[УСЛУГ]]&lt;&gt;"",Февраль[[#This Row],[УСЛУГ]]*Февраль[[#This Row],[Периодичность]],"")</f>
        <v/>
      </c>
    </row>
    <row r="55" spans="1:35" ht="31.5" x14ac:dyDescent="0.25">
      <c r="A55" s="16" t="s">
        <v>29</v>
      </c>
      <c r="B55" s="2" t="s">
        <v>61</v>
      </c>
      <c r="C55" s="32">
        <v>15</v>
      </c>
      <c r="D55" s="11">
        <v>1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55" s="5">
        <f ca="1">IF(Февраль[[#This Row],[УСЛУГ]]&lt;&gt;"",Февраль[[#This Row],[УСЛУГ]]*Февраль[[#This Row],[Периодичность]],"")</f>
        <v>0</v>
      </c>
    </row>
    <row r="56" spans="1:35" x14ac:dyDescent="0.25">
      <c r="A56" s="16"/>
      <c r="B56" s="2"/>
      <c r="C56" s="32">
        <v>15</v>
      </c>
      <c r="D56" s="11">
        <v>2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56" s="5" t="str">
        <f ca="1">IF(Февраль[[#This Row],[УСЛУГ]]&lt;&gt;"",Февраль[[#This Row],[УСЛУГ]]*Февраль[[#This Row],[Периодичность]],"")</f>
        <v/>
      </c>
    </row>
    <row r="57" spans="1:35" x14ac:dyDescent="0.25">
      <c r="A57" s="16"/>
      <c r="B57" s="2"/>
      <c r="C57" s="32">
        <v>15</v>
      </c>
      <c r="D57" s="11">
        <v>3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57" s="5" t="str">
        <f ca="1">IF(Февраль[[#This Row],[УСЛУГ]]&lt;&gt;"",Февраль[[#This Row],[УСЛУГ]]*Февраль[[#This Row],[Периодичность]],"")</f>
        <v/>
      </c>
    </row>
    <row r="58" spans="1:35" ht="47.25" x14ac:dyDescent="0.25">
      <c r="A58" s="16" t="s">
        <v>83</v>
      </c>
      <c r="B58" s="2" t="s">
        <v>58</v>
      </c>
      <c r="C58" s="32">
        <v>10</v>
      </c>
      <c r="D58" s="11">
        <v>1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58" s="5">
        <f ca="1">IF(Февраль[[#This Row],[УСЛУГ]]&lt;&gt;"",Февраль[[#This Row],[УСЛУГ]]*Февраль[[#This Row],[Периодичность]],"")</f>
        <v>0</v>
      </c>
    </row>
    <row r="59" spans="1:35" x14ac:dyDescent="0.25">
      <c r="A59" s="16"/>
      <c r="B59" s="2"/>
      <c r="C59" s="32">
        <v>10</v>
      </c>
      <c r="D59" s="11">
        <v>2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59" s="5" t="str">
        <f ca="1">IF(Февраль[[#This Row],[УСЛУГ]]&lt;&gt;"",Февраль[[#This Row],[УСЛУГ]]*Февраль[[#This Row],[Периодичность]],"")</f>
        <v/>
      </c>
    </row>
    <row r="60" spans="1:35" x14ac:dyDescent="0.25">
      <c r="A60" s="16"/>
      <c r="B60" s="2"/>
      <c r="C60" s="32">
        <v>10</v>
      </c>
      <c r="D60" s="11">
        <v>3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60" s="5" t="str">
        <f ca="1">IF(Февраль[[#This Row],[УСЛУГ]]&lt;&gt;"",Февраль[[#This Row],[УСЛУГ]]*Февраль[[#This Row],[Периодичность]],"")</f>
        <v/>
      </c>
    </row>
    <row r="61" spans="1:35" ht="47.25" x14ac:dyDescent="0.25">
      <c r="A61" s="16" t="s">
        <v>82</v>
      </c>
      <c r="B61" s="2" t="s">
        <v>59</v>
      </c>
      <c r="C61" s="32">
        <v>10</v>
      </c>
      <c r="D61" s="11">
        <v>1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61" s="5">
        <f ca="1">IF(Февраль[[#This Row],[УСЛУГ]]&lt;&gt;"",Февраль[[#This Row],[УСЛУГ]]*Февраль[[#This Row],[Периодичность]],"")</f>
        <v>0</v>
      </c>
    </row>
    <row r="62" spans="1:35" x14ac:dyDescent="0.25">
      <c r="A62" s="16"/>
      <c r="B62" s="2"/>
      <c r="C62" s="32">
        <v>10</v>
      </c>
      <c r="D62" s="11">
        <v>2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62" s="5" t="str">
        <f ca="1">IF(Февраль[[#This Row],[УСЛУГ]]&lt;&gt;"",Февраль[[#This Row],[УСЛУГ]]*Февраль[[#This Row],[Периодичность]],"")</f>
        <v/>
      </c>
    </row>
    <row r="63" spans="1:35" x14ac:dyDescent="0.25">
      <c r="A63" s="16"/>
      <c r="B63" s="2"/>
      <c r="C63" s="32">
        <v>10</v>
      </c>
      <c r="D63" s="11">
        <v>3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63" s="5" t="str">
        <f ca="1">IF(Февраль[[#This Row],[УСЛУГ]]&lt;&gt;"",Февраль[[#This Row],[УСЛУГ]]*Февраль[[#This Row],[Периодичность]],"")</f>
        <v/>
      </c>
    </row>
    <row r="64" spans="1:35" ht="31.5" x14ac:dyDescent="0.25">
      <c r="A64" s="16" t="s">
        <v>37</v>
      </c>
      <c r="B64" s="2" t="s">
        <v>60</v>
      </c>
      <c r="C64" s="32">
        <v>5</v>
      </c>
      <c r="D64" s="11">
        <v>1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64" s="5">
        <f ca="1">IF(Февраль[[#This Row],[УСЛУГ]]&lt;&gt;"",Февраль[[#This Row],[УСЛУГ]]*Февраль[[#This Row],[Периодичность]],"")</f>
        <v>0</v>
      </c>
    </row>
    <row r="65" spans="1:35" x14ac:dyDescent="0.25">
      <c r="A65" s="16"/>
      <c r="B65" s="2"/>
      <c r="C65" s="32">
        <v>5</v>
      </c>
      <c r="D65" s="11">
        <v>2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65" s="5" t="str">
        <f ca="1">IF(Февраль[[#This Row],[УСЛУГ]]&lt;&gt;"",Февраль[[#This Row],[УСЛУГ]]*Февраль[[#This Row],[Периодичность]],"")</f>
        <v/>
      </c>
    </row>
    <row r="66" spans="1:35" x14ac:dyDescent="0.25">
      <c r="A66" s="16"/>
      <c r="B66" s="2"/>
      <c r="C66" s="32">
        <v>5</v>
      </c>
      <c r="D66" s="11">
        <v>3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66" s="5" t="str">
        <f ca="1">IF(Февраль[[#This Row],[УСЛУГ]]&lt;&gt;"",Февраль[[#This Row],[УСЛУГ]]*Февраль[[#This Row],[Периодичность]],"")</f>
        <v/>
      </c>
    </row>
    <row r="67" spans="1:35" x14ac:dyDescent="0.25">
      <c r="A67" s="16" t="s">
        <v>38</v>
      </c>
      <c r="B67" s="2" t="s">
        <v>59</v>
      </c>
      <c r="C67" s="32">
        <v>7</v>
      </c>
      <c r="D67" s="11">
        <v>1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67" s="5">
        <f ca="1">IF(Февраль[[#This Row],[УСЛУГ]]&lt;&gt;"",Февраль[[#This Row],[УСЛУГ]]*Февраль[[#This Row],[Периодичность]],"")</f>
        <v>0</v>
      </c>
    </row>
    <row r="68" spans="1:35" x14ac:dyDescent="0.25">
      <c r="A68" s="16"/>
      <c r="B68" s="2"/>
      <c r="C68" s="32">
        <v>7</v>
      </c>
      <c r="D68" s="11">
        <v>2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68" s="5" t="str">
        <f ca="1">IF(Февраль[[#This Row],[УСЛУГ]]&lt;&gt;"",Февраль[[#This Row],[УСЛУГ]]*Февраль[[#This Row],[Периодичность]],"")</f>
        <v/>
      </c>
    </row>
    <row r="69" spans="1:35" x14ac:dyDescent="0.25">
      <c r="A69" s="16"/>
      <c r="B69" s="2"/>
      <c r="C69" s="32">
        <v>7</v>
      </c>
      <c r="D69" s="11">
        <v>3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69" s="5" t="str">
        <f ca="1">IF(Февраль[[#This Row],[УСЛУГ]]&lt;&gt;"",Февраль[[#This Row],[УСЛУГ]]*Февраль[[#This Row],[Периодичность]],"")</f>
        <v/>
      </c>
    </row>
    <row r="70" spans="1:35" ht="47.25" x14ac:dyDescent="0.25">
      <c r="A70" s="16" t="s">
        <v>81</v>
      </c>
      <c r="B70" s="2" t="s">
        <v>59</v>
      </c>
      <c r="C70" s="32">
        <v>5</v>
      </c>
      <c r="D70" s="11">
        <v>1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70" s="5">
        <f ca="1">IF(Февраль[[#This Row],[УСЛУГ]]&lt;&gt;"",Февраль[[#This Row],[УСЛУГ]]*Февраль[[#This Row],[Периодичность]],"")</f>
        <v>0</v>
      </c>
    </row>
    <row r="71" spans="1:35" x14ac:dyDescent="0.25">
      <c r="A71" s="16"/>
      <c r="B71" s="2"/>
      <c r="C71" s="32">
        <v>5</v>
      </c>
      <c r="D71" s="11">
        <v>2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71" s="5" t="str">
        <f ca="1">IF(Февраль[[#This Row],[УСЛУГ]]&lt;&gt;"",Февраль[[#This Row],[УСЛУГ]]*Февраль[[#This Row],[Периодичность]],"")</f>
        <v/>
      </c>
    </row>
    <row r="72" spans="1:35" x14ac:dyDescent="0.25">
      <c r="A72" s="16"/>
      <c r="B72" s="2"/>
      <c r="C72" s="32">
        <v>5</v>
      </c>
      <c r="D72" s="11">
        <v>3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72" s="5" t="str">
        <f ca="1">IF(Февраль[[#This Row],[УСЛУГ]]&lt;&gt;"",Февраль[[#This Row],[УСЛУГ]]*Февраль[[#This Row],[Периодичность]],"")</f>
        <v/>
      </c>
    </row>
    <row r="73" spans="1:35" ht="47.25" x14ac:dyDescent="0.25">
      <c r="A73" s="16" t="s">
        <v>80</v>
      </c>
      <c r="B73" s="2" t="s">
        <v>59</v>
      </c>
      <c r="C73" s="32">
        <v>5</v>
      </c>
      <c r="D73" s="11">
        <v>1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73" s="5">
        <f ca="1">IF(Февраль[[#This Row],[УСЛУГ]]&lt;&gt;"",Февраль[[#This Row],[УСЛУГ]]*Февраль[[#This Row],[Периодичность]],"")</f>
        <v>0</v>
      </c>
    </row>
    <row r="74" spans="1:35" x14ac:dyDescent="0.25">
      <c r="A74" s="16"/>
      <c r="B74" s="2"/>
      <c r="C74" s="32">
        <v>5</v>
      </c>
      <c r="D74" s="11">
        <v>2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74" s="5" t="str">
        <f ca="1">IF(Февраль[[#This Row],[УСЛУГ]]&lt;&gt;"",Февраль[[#This Row],[УСЛУГ]]*Февраль[[#This Row],[Периодичность]],"")</f>
        <v/>
      </c>
    </row>
    <row r="75" spans="1:35" x14ac:dyDescent="0.25">
      <c r="A75" s="16"/>
      <c r="B75" s="2"/>
      <c r="C75" s="32">
        <v>5</v>
      </c>
      <c r="D75" s="11">
        <v>3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75" s="5" t="str">
        <f ca="1">IF(Февраль[[#This Row],[УСЛУГ]]&lt;&gt;"",Февраль[[#This Row],[УСЛУГ]]*Февраль[[#This Row],[Периодичность]],"")</f>
        <v/>
      </c>
    </row>
    <row r="76" spans="1:35" ht="47.25" x14ac:dyDescent="0.25">
      <c r="A76" s="16" t="s">
        <v>79</v>
      </c>
      <c r="B76" s="2" t="s">
        <v>57</v>
      </c>
      <c r="C76" s="32">
        <v>45</v>
      </c>
      <c r="D76" s="11">
        <v>1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76" s="5">
        <f ca="1">IF(Февраль[[#This Row],[УСЛУГ]]&lt;&gt;"",Февраль[[#This Row],[УСЛУГ]]*Февраль[[#This Row],[Периодичность]],"")</f>
        <v>0</v>
      </c>
    </row>
    <row r="77" spans="1:35" x14ac:dyDescent="0.25">
      <c r="A77" s="16"/>
      <c r="B77" s="2"/>
      <c r="C77" s="32">
        <v>45</v>
      </c>
      <c r="D77" s="11">
        <v>2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77" s="5" t="str">
        <f ca="1">IF(Февраль[[#This Row],[УСЛУГ]]&lt;&gt;"",Февраль[[#This Row],[УСЛУГ]]*Февраль[[#This Row],[Периодичность]],"")</f>
        <v/>
      </c>
    </row>
    <row r="78" spans="1:35" x14ac:dyDescent="0.25">
      <c r="A78" s="16"/>
      <c r="B78" s="2"/>
      <c r="C78" s="32">
        <v>45</v>
      </c>
      <c r="D78" s="11">
        <v>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78" s="5" t="str">
        <f ca="1">IF(Февраль[[#This Row],[УСЛУГ]]&lt;&gt;"",Февраль[[#This Row],[УСЛУГ]]*Февраль[[#This Row],[Периодичность]],"")</f>
        <v/>
      </c>
    </row>
    <row r="79" spans="1:35" ht="47.25" x14ac:dyDescent="0.25">
      <c r="A79" s="16" t="s">
        <v>78</v>
      </c>
      <c r="B79" s="2" t="s">
        <v>59</v>
      </c>
      <c r="C79" s="32">
        <v>10</v>
      </c>
      <c r="D79" s="11">
        <v>1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79" s="5">
        <f ca="1">IF(Февраль[[#This Row],[УСЛУГ]]&lt;&gt;"",Февраль[[#This Row],[УСЛУГ]]*Февраль[[#This Row],[Периодичность]],"")</f>
        <v>0</v>
      </c>
    </row>
    <row r="80" spans="1:35" x14ac:dyDescent="0.25">
      <c r="A80" s="16"/>
      <c r="B80" s="2"/>
      <c r="C80" s="32">
        <v>10</v>
      </c>
      <c r="D80" s="11">
        <v>2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80" s="5" t="str">
        <f ca="1">IF(Февраль[[#This Row],[УСЛУГ]]&lt;&gt;"",Февраль[[#This Row],[УСЛУГ]]*Февраль[[#This Row],[Периодичность]],"")</f>
        <v/>
      </c>
    </row>
    <row r="81" spans="1:35" x14ac:dyDescent="0.25">
      <c r="A81" s="16"/>
      <c r="B81" s="2"/>
      <c r="C81" s="32">
        <v>10</v>
      </c>
      <c r="D81" s="11">
        <v>3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81" s="5" t="str">
        <f ca="1">IF(Февраль[[#This Row],[УСЛУГ]]&lt;&gt;"",Февраль[[#This Row],[УСЛУГ]]*Февраль[[#This Row],[Периодичность]],"")</f>
        <v/>
      </c>
    </row>
    <row r="84" spans="1:35" x14ac:dyDescent="0.25">
      <c r="A84" s="34"/>
      <c r="B84" s="34"/>
      <c r="C84" s="34"/>
    </row>
    <row r="85" spans="1:35" x14ac:dyDescent="0.25">
      <c r="A85" s="35"/>
      <c r="B85" s="36"/>
      <c r="C85" s="36"/>
    </row>
    <row r="86" spans="1:35" x14ac:dyDescent="0.25">
      <c r="A86" s="35"/>
      <c r="B86" s="36"/>
      <c r="C86" s="36"/>
    </row>
    <row r="87" spans="1:35" x14ac:dyDescent="0.25">
      <c r="A87" s="35"/>
      <c r="B87" s="36"/>
      <c r="C87" s="36"/>
    </row>
    <row r="88" spans="1:35" x14ac:dyDescent="0.25">
      <c r="A88" s="35"/>
      <c r="B88" s="36"/>
      <c r="C88" s="36"/>
    </row>
    <row r="89" spans="1:35" x14ac:dyDescent="0.25">
      <c r="A89" s="35"/>
      <c r="B89" s="36"/>
      <c r="C89" s="36"/>
    </row>
    <row r="90" spans="1:35" x14ac:dyDescent="0.25">
      <c r="A90" s="35"/>
      <c r="B90" s="36"/>
      <c r="C90" s="36"/>
    </row>
    <row r="91" spans="1:35" x14ac:dyDescent="0.25">
      <c r="A91" s="35"/>
      <c r="B91" s="36"/>
      <c r="C91" s="36"/>
    </row>
    <row r="92" spans="1:35" x14ac:dyDescent="0.25">
      <c r="A92" s="35"/>
      <c r="B92" s="36"/>
      <c r="C92" s="36"/>
    </row>
    <row r="93" spans="1:35" x14ac:dyDescent="0.25">
      <c r="A93" s="35"/>
      <c r="B93" s="36"/>
      <c r="C93" s="36"/>
    </row>
    <row r="94" spans="1:35" x14ac:dyDescent="0.25">
      <c r="A94" s="35"/>
      <c r="B94" s="36"/>
      <c r="C94" s="36"/>
    </row>
    <row r="95" spans="1:35" x14ac:dyDescent="0.25">
      <c r="A95" s="35"/>
      <c r="B95" s="36"/>
      <c r="C95" s="36"/>
    </row>
    <row r="96" spans="1:35" x14ac:dyDescent="0.25">
      <c r="A96" s="35"/>
      <c r="B96" s="36"/>
      <c r="C96" s="36"/>
    </row>
    <row r="97" spans="1:3" x14ac:dyDescent="0.25">
      <c r="A97" s="35"/>
      <c r="B97" s="36"/>
      <c r="C97" s="36"/>
    </row>
    <row r="98" spans="1:3" x14ac:dyDescent="0.25">
      <c r="A98" s="35"/>
      <c r="B98" s="36"/>
      <c r="C98" s="36"/>
    </row>
    <row r="99" spans="1:3" x14ac:dyDescent="0.25">
      <c r="A99" s="35"/>
      <c r="B99" s="36"/>
      <c r="C99" s="36"/>
    </row>
    <row r="100" spans="1:3" x14ac:dyDescent="0.25">
      <c r="A100" s="35"/>
      <c r="B100" s="36"/>
      <c r="C100" s="36"/>
    </row>
    <row r="101" spans="1:3" x14ac:dyDescent="0.25">
      <c r="A101" s="35"/>
      <c r="B101" s="36"/>
      <c r="C101" s="36"/>
    </row>
    <row r="102" spans="1:3" x14ac:dyDescent="0.25">
      <c r="A102" s="35"/>
      <c r="B102" s="36"/>
      <c r="C102" s="36"/>
    </row>
    <row r="103" spans="1:3" x14ac:dyDescent="0.25">
      <c r="A103" s="35"/>
      <c r="B103" s="36"/>
      <c r="C103" s="36"/>
    </row>
    <row r="104" spans="1:3" x14ac:dyDescent="0.25">
      <c r="A104" s="35"/>
      <c r="B104" s="36"/>
      <c r="C104" s="36"/>
    </row>
    <row r="105" spans="1:3" x14ac:dyDescent="0.25">
      <c r="A105" s="34"/>
      <c r="B105" s="34"/>
      <c r="C105" s="34"/>
    </row>
  </sheetData>
  <mergeCells count="20">
    <mergeCell ref="AI7:AI11"/>
    <mergeCell ref="A19:A23"/>
    <mergeCell ref="B19:C23"/>
    <mergeCell ref="D19:D23"/>
    <mergeCell ref="AI19:AI23"/>
    <mergeCell ref="A7:A11"/>
    <mergeCell ref="B7:B11"/>
    <mergeCell ref="C7:C11"/>
    <mergeCell ref="D7:D11"/>
    <mergeCell ref="E10:AG11"/>
    <mergeCell ref="E7:AG8"/>
    <mergeCell ref="AH7:AH11"/>
    <mergeCell ref="E22:AG23"/>
    <mergeCell ref="E19:AG20"/>
    <mergeCell ref="AH19:AH23"/>
    <mergeCell ref="A2:AJ2"/>
    <mergeCell ref="A3:AJ3"/>
    <mergeCell ref="J4:L4"/>
    <mergeCell ref="M4:U4"/>
    <mergeCell ref="M5:Q5"/>
  </mergeCells>
  <conditionalFormatting sqref="I9:AG9 E9 I21:AG21 E21">
    <cfRule type="expression" dxfId="1076" priority="2">
      <formula>WEEKDAY(E9:AG9,2)&gt;5</formula>
    </cfRule>
  </conditionalFormatting>
  <conditionalFormatting sqref="F9:H9 F21:H21">
    <cfRule type="expression" dxfId="1075" priority="6">
      <formula>WEEKDAY(F9:AG9,2)&gt;5</formula>
    </cfRule>
  </conditionalFormatting>
  <dataValidations count="2">
    <dataValidation type="list" allowBlank="1" showInputMessage="1" showErrorMessage="1" sqref="D25:D81">
      <formula1>INDIRECT("Посещения")</formula1>
    </dataValidation>
    <dataValidation type="list" allowBlank="1" showInputMessage="1" showErrorMessage="1" sqref="A25:A81">
      <formula1>INDIRECT("Услуги[Кратко]")</formula1>
    </dataValidation>
  </dataValidations>
  <pageMargins left="0.25" right="0.25" top="0.75" bottom="0.75" header="0.3" footer="0.3"/>
  <pageSetup paperSize="9" scale="51" fitToHeight="0" orientation="landscape" horizontalDpi="300" verticalDpi="300" r:id="rId1"/>
  <ignoredErrors>
    <ignoredError sqref="E13:E17 C25:C81 AH17:AI17 B13:B17" calculatedColumn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81"/>
  <sheetViews>
    <sheetView zoomScale="80" zoomScaleNormal="80" workbookViewId="0">
      <selection activeCell="B5" sqref="B5"/>
    </sheetView>
  </sheetViews>
  <sheetFormatPr defaultRowHeight="15.75" x14ac:dyDescent="0.25"/>
  <cols>
    <col min="1" max="1" width="21.42578125" style="3" customWidth="1"/>
    <col min="2" max="2" width="14.28515625" style="3" customWidth="1"/>
    <col min="3" max="3" width="17.7109375" style="3" customWidth="1"/>
    <col min="4" max="4" width="9.28515625" style="3" customWidth="1"/>
    <col min="5" max="5" width="6.85546875" style="3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8" ht="18.75" x14ac:dyDescent="0.25">
      <c r="A2" s="60" t="s">
        <v>72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</row>
    <row r="3" spans="1:38" ht="18.75" x14ac:dyDescent="0.25">
      <c r="A3" s="60" t="s">
        <v>73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</row>
    <row r="4" spans="1:38" ht="18.75" x14ac:dyDescent="0.25">
      <c r="I4" s="13"/>
      <c r="J4" s="61" t="s">
        <v>74</v>
      </c>
      <c r="K4" s="61"/>
      <c r="L4" s="61"/>
      <c r="M4" s="62"/>
      <c r="N4" s="54"/>
      <c r="O4" s="54"/>
      <c r="P4" s="54"/>
      <c r="Q4" s="54"/>
      <c r="R4" s="54"/>
      <c r="S4" s="54"/>
      <c r="T4" s="54"/>
      <c r="U4" s="54"/>
    </row>
    <row r="5" spans="1:38" ht="18.75" x14ac:dyDescent="0.25">
      <c r="L5" s="12" t="s">
        <v>75</v>
      </c>
      <c r="M5" s="63" t="s">
        <v>140</v>
      </c>
      <c r="N5" s="64"/>
      <c r="O5" s="64"/>
      <c r="P5" s="64"/>
      <c r="Q5" s="64"/>
      <c r="R5" s="37">
        <f>Год[Год]</f>
        <v>2023</v>
      </c>
      <c r="S5" s="38" t="s">
        <v>138</v>
      </c>
      <c r="T5" s="14"/>
      <c r="U5" s="14"/>
    </row>
    <row r="6" spans="1:38" ht="17.25" customHeight="1" x14ac:dyDescent="0.25"/>
    <row r="7" spans="1:38" ht="26.25" customHeight="1" x14ac:dyDescent="0.25">
      <c r="A7" s="49"/>
      <c r="B7" s="57" t="s">
        <v>121</v>
      </c>
      <c r="C7" s="57" t="s">
        <v>120</v>
      </c>
      <c r="D7" s="58" t="s">
        <v>67</v>
      </c>
      <c r="E7" s="43" t="s">
        <v>55</v>
      </c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5"/>
      <c r="AJ7" s="39" t="s">
        <v>70</v>
      </c>
      <c r="AK7" s="40" t="s">
        <v>70</v>
      </c>
    </row>
    <row r="8" spans="1:38" x14ac:dyDescent="0.25">
      <c r="A8" s="49"/>
      <c r="B8" s="52"/>
      <c r="C8" s="52"/>
      <c r="D8" s="59"/>
      <c r="E8" s="53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5"/>
      <c r="AJ8" s="39"/>
      <c r="AK8" s="41"/>
    </row>
    <row r="9" spans="1:38" x14ac:dyDescent="0.25">
      <c r="A9" s="49"/>
      <c r="B9" s="52"/>
      <c r="C9" s="52"/>
      <c r="D9" s="59"/>
      <c r="E9" s="23">
        <f>Настройки!E9</f>
        <v>44986</v>
      </c>
      <c r="F9" s="23">
        <f>Настройки!F9</f>
        <v>44987</v>
      </c>
      <c r="G9" s="23">
        <f>Настройки!G9</f>
        <v>44988</v>
      </c>
      <c r="H9" s="23">
        <f>Настройки!H9</f>
        <v>44989</v>
      </c>
      <c r="I9" s="23">
        <f>Настройки!I9</f>
        <v>44990</v>
      </c>
      <c r="J9" s="23">
        <f>Настройки!J9</f>
        <v>44991</v>
      </c>
      <c r="K9" s="23">
        <f>Настройки!K9</f>
        <v>44992</v>
      </c>
      <c r="L9" s="23">
        <f>Настройки!L9</f>
        <v>44993</v>
      </c>
      <c r="M9" s="23">
        <f>Настройки!M9</f>
        <v>44994</v>
      </c>
      <c r="N9" s="23">
        <f>Настройки!N9</f>
        <v>44995</v>
      </c>
      <c r="O9" s="23">
        <f>Настройки!O9</f>
        <v>44996</v>
      </c>
      <c r="P9" s="23">
        <f>Настройки!P9</f>
        <v>44997</v>
      </c>
      <c r="Q9" s="23">
        <f>Настройки!Q9</f>
        <v>44998</v>
      </c>
      <c r="R9" s="23">
        <f>Настройки!R9</f>
        <v>44999</v>
      </c>
      <c r="S9" s="23">
        <f>Настройки!S9</f>
        <v>45000</v>
      </c>
      <c r="T9" s="23">
        <f>Настройки!T9</f>
        <v>45001</v>
      </c>
      <c r="U9" s="23">
        <f>Настройки!U9</f>
        <v>45002</v>
      </c>
      <c r="V9" s="23">
        <f>Настройки!V9</f>
        <v>45003</v>
      </c>
      <c r="W9" s="23">
        <f>Настройки!W9</f>
        <v>45004</v>
      </c>
      <c r="X9" s="23">
        <f>Настройки!X9</f>
        <v>45005</v>
      </c>
      <c r="Y9" s="23">
        <f>Настройки!Y9</f>
        <v>45006</v>
      </c>
      <c r="Z9" s="23">
        <f>Настройки!Z9</f>
        <v>45007</v>
      </c>
      <c r="AA9" s="23">
        <f>Настройки!AA9</f>
        <v>45008</v>
      </c>
      <c r="AB9" s="23">
        <f>Настройки!AB9</f>
        <v>45009</v>
      </c>
      <c r="AC9" s="23">
        <f>Настройки!AC9</f>
        <v>45010</v>
      </c>
      <c r="AD9" s="23">
        <f>Настройки!AD9</f>
        <v>45011</v>
      </c>
      <c r="AE9" s="23">
        <f>Настройки!AE9</f>
        <v>45012</v>
      </c>
      <c r="AF9" s="23">
        <f>Настройки!AF9</f>
        <v>45013</v>
      </c>
      <c r="AG9" s="23">
        <f>Настройки!AG9</f>
        <v>45014</v>
      </c>
      <c r="AH9" s="23">
        <f>Настройки!AH9</f>
        <v>45015</v>
      </c>
      <c r="AI9" s="23">
        <f>Настройки!AI9</f>
        <v>45016</v>
      </c>
      <c r="AJ9" s="39"/>
      <c r="AK9" s="41"/>
    </row>
    <row r="10" spans="1:38" x14ac:dyDescent="0.25">
      <c r="A10" s="49"/>
      <c r="B10" s="52"/>
      <c r="C10" s="52"/>
      <c r="D10" s="59"/>
      <c r="E10" s="43" t="s">
        <v>54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5"/>
      <c r="AJ10" s="39"/>
      <c r="AK10" s="41"/>
    </row>
    <row r="11" spans="1:38" x14ac:dyDescent="0.25">
      <c r="A11" s="57"/>
      <c r="B11" s="52"/>
      <c r="C11" s="52"/>
      <c r="D11" s="59"/>
      <c r="E11" s="46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8"/>
      <c r="AJ11" s="39"/>
      <c r="AK11" s="42"/>
    </row>
    <row r="12" spans="1:38" ht="22.5" customHeight="1" x14ac:dyDescent="0.25">
      <c r="A12" s="3" t="s">
        <v>88</v>
      </c>
      <c r="B12" s="3" t="s">
        <v>87</v>
      </c>
      <c r="C12" s="3" t="s">
        <v>119</v>
      </c>
      <c r="D12" s="9" t="s">
        <v>66</v>
      </c>
      <c r="E12" s="3" t="s">
        <v>89</v>
      </c>
      <c r="F12" s="3" t="s">
        <v>90</v>
      </c>
      <c r="G12" s="3" t="s">
        <v>91</v>
      </c>
      <c r="H12" s="3" t="s">
        <v>92</v>
      </c>
      <c r="I12" s="3" t="s">
        <v>93</v>
      </c>
      <c r="J12" s="3" t="s">
        <v>94</v>
      </c>
      <c r="K12" s="3" t="s">
        <v>95</v>
      </c>
      <c r="L12" s="3" t="s">
        <v>96</v>
      </c>
      <c r="M12" s="3" t="s">
        <v>97</v>
      </c>
      <c r="N12" s="3" t="s">
        <v>98</v>
      </c>
      <c r="O12" s="3" t="s">
        <v>99</v>
      </c>
      <c r="P12" s="3" t="s">
        <v>100</v>
      </c>
      <c r="Q12" s="3" t="s">
        <v>101</v>
      </c>
      <c r="R12" s="3" t="s">
        <v>102</v>
      </c>
      <c r="S12" s="3" t="s">
        <v>103</v>
      </c>
      <c r="T12" s="3" t="s">
        <v>104</v>
      </c>
      <c r="U12" s="3" t="s">
        <v>105</v>
      </c>
      <c r="V12" s="3" t="s">
        <v>106</v>
      </c>
      <c r="W12" s="3" t="s">
        <v>107</v>
      </c>
      <c r="X12" s="3" t="s">
        <v>108</v>
      </c>
      <c r="Y12" s="3" t="s">
        <v>109</v>
      </c>
      <c r="Z12" s="3" t="s">
        <v>110</v>
      </c>
      <c r="AA12" s="3" t="s">
        <v>111</v>
      </c>
      <c r="AB12" s="3" t="s">
        <v>112</v>
      </c>
      <c r="AC12" s="3" t="s">
        <v>113</v>
      </c>
      <c r="AD12" s="3" t="s">
        <v>114</v>
      </c>
      <c r="AE12" s="3" t="s">
        <v>115</v>
      </c>
      <c r="AF12" s="3" t="s">
        <v>116</v>
      </c>
      <c r="AG12" s="3" t="s">
        <v>117</v>
      </c>
      <c r="AH12" s="3" t="s">
        <v>118</v>
      </c>
      <c r="AI12" s="3" t="s">
        <v>127</v>
      </c>
      <c r="AJ12" s="3" t="s">
        <v>68</v>
      </c>
      <c r="AK12" s="3" t="s">
        <v>69</v>
      </c>
      <c r="AL12" s="4"/>
    </row>
    <row r="13" spans="1:38" x14ac:dyDescent="0.25">
      <c r="A13" s="5" t="s">
        <v>62</v>
      </c>
      <c r="B13" s="3">
        <f>SUMPRODUCT((Настройки!$E$23:$AI$23=1)*E16:AI16)</f>
        <v>0</v>
      </c>
      <c r="D13" s="5">
        <v>1</v>
      </c>
      <c r="E13" s="30">
        <f>SUMPRODUCT((Март[№]=1)*Март[1],Март[Периодичность])</f>
        <v>0</v>
      </c>
      <c r="F13" s="30">
        <f>SUMPRODUCT((Март[№]=1)*Март[2],Март[Периодичность])</f>
        <v>0</v>
      </c>
      <c r="G13" s="30">
        <f>SUMPRODUCT((Март[№]=1)*Март[3],Март[Периодичность])</f>
        <v>0</v>
      </c>
      <c r="H13" s="30">
        <f>SUMPRODUCT((Март[№]=1)*Март[4],Март[Периодичность])</f>
        <v>0</v>
      </c>
      <c r="I13" s="30">
        <f>SUMPRODUCT((Март[№]=1)*Март[5],Март[Периодичность])</f>
        <v>0</v>
      </c>
      <c r="J13" s="30">
        <f>SUMPRODUCT((Март[№]=1)*Март[6],Март[Периодичность])</f>
        <v>0</v>
      </c>
      <c r="K13" s="30">
        <f>SUMPRODUCT((Март[№]=1)*Март[7],Март[Периодичность])</f>
        <v>0</v>
      </c>
      <c r="L13" s="30">
        <f>SUMPRODUCT((Март[№]=1)*Март[8],Март[Периодичность])</f>
        <v>0</v>
      </c>
      <c r="M13" s="30">
        <f>SUMPRODUCT((Март[№]=1)*Март[9],Март[Периодичность])</f>
        <v>0</v>
      </c>
      <c r="N13" s="30">
        <f>SUMPRODUCT((Март[№]=1)*Март[10],Март[Периодичность])</f>
        <v>0</v>
      </c>
      <c r="O13" s="30">
        <f>SUMPRODUCT((Март[№]=1)*Март[11],Март[Периодичность])</f>
        <v>0</v>
      </c>
      <c r="P13" s="30">
        <f>SUMPRODUCT((Март[№]=1)*Март[12],Март[Периодичность])</f>
        <v>0</v>
      </c>
      <c r="Q13" s="30">
        <f>SUMPRODUCT((Март[№]=1)*Март[13],Март[Периодичность])</f>
        <v>0</v>
      </c>
      <c r="R13" s="30">
        <f>SUMPRODUCT((Март[№]=1)*Март[14],Март[Периодичность])</f>
        <v>0</v>
      </c>
      <c r="S13" s="30">
        <f>SUMPRODUCT((Март[№]=1)*Март[15],Март[Периодичность])</f>
        <v>0</v>
      </c>
      <c r="T13" s="30">
        <f>SUMPRODUCT((Март[№]=1)*Март[16],Март[Периодичность])</f>
        <v>0</v>
      </c>
      <c r="U13" s="30">
        <f>SUMPRODUCT((Март[№]=1)*Март[17],Март[Периодичность])</f>
        <v>0</v>
      </c>
      <c r="V13" s="30">
        <f>SUMPRODUCT((Март[№]=1)*Март[18],Март[Периодичность])</f>
        <v>0</v>
      </c>
      <c r="W13" s="30">
        <f>SUMPRODUCT((Март[№]=1)*Март[19],Март[Периодичность])</f>
        <v>0</v>
      </c>
      <c r="X13" s="30">
        <f>SUMPRODUCT((Март[№]=1)*Март[20],Март[Периодичность])</f>
        <v>0</v>
      </c>
      <c r="Y13" s="30">
        <f>SUMPRODUCT((Март[№]=1)*Март[21],Март[Периодичность])</f>
        <v>0</v>
      </c>
      <c r="Z13" s="30">
        <f>SUMPRODUCT((Март[№]=1)*Март[22],Март[Периодичность])</f>
        <v>0</v>
      </c>
      <c r="AA13" s="30">
        <f>SUMPRODUCT((Март[№]=1)*Март[23],Март[Периодичность])</f>
        <v>0</v>
      </c>
      <c r="AB13" s="30">
        <f>SUMPRODUCT((Март[№]=1)*Март[24],Март[Периодичность])</f>
        <v>0</v>
      </c>
      <c r="AC13" s="30">
        <f>SUMPRODUCT((Март[№]=1)*Март[25],Март[Периодичность])</f>
        <v>0</v>
      </c>
      <c r="AD13" s="30">
        <f>SUMPRODUCT((Март[№]=1)*Март[26],Март[Периодичность])</f>
        <v>0</v>
      </c>
      <c r="AE13" s="30">
        <f>SUMPRODUCT((Март[№]=1)*Март[27],Март[Периодичность])</f>
        <v>0</v>
      </c>
      <c r="AF13" s="30">
        <f>SUMPRODUCT((Март[№]=1)*Март[28],Март[Периодичность])</f>
        <v>0</v>
      </c>
      <c r="AG13" s="30">
        <f>SUMPRODUCT((Март[№]=1)*Март[29],Март[Периодичность])</f>
        <v>0</v>
      </c>
      <c r="AH13" s="30">
        <f>SUMPRODUCT((Март[№]=1)*Март[30],Март[Периодичность])</f>
        <v>0</v>
      </c>
      <c r="AI13" s="30">
        <f>SUMPRODUCT((Март[№]=1)*Март[31],Март[Периодичность])</f>
        <v>0</v>
      </c>
      <c r="AL13" s="4"/>
    </row>
    <row r="14" spans="1:38" x14ac:dyDescent="0.25">
      <c r="B14" s="3">
        <f>SUMPRODUCT((Настройки!$E$23:$AI$23=2)*E16:AI16)</f>
        <v>0</v>
      </c>
      <c r="D14" s="5">
        <v>2</v>
      </c>
      <c r="E14" s="30">
        <f>SUMPRODUCT((Март[№]=2)*Март[1],Март[Периодичность])</f>
        <v>0</v>
      </c>
      <c r="F14" s="30">
        <f>SUMPRODUCT((Март[№]=2)*Март[2],Март[Периодичность])</f>
        <v>0</v>
      </c>
      <c r="G14" s="30">
        <f>SUMPRODUCT((Март[№]=2)*Март[3],Март[Периодичность])</f>
        <v>0</v>
      </c>
      <c r="H14" s="30">
        <f>SUMPRODUCT((Март[№]=2)*Март[4],Март[Периодичность])</f>
        <v>0</v>
      </c>
      <c r="I14" s="30">
        <f>SUMPRODUCT((Март[№]=2)*Март[5],Март[Периодичность])</f>
        <v>0</v>
      </c>
      <c r="J14" s="30">
        <f>SUMPRODUCT((Март[№]=2)*Март[6],Март[Периодичность])</f>
        <v>0</v>
      </c>
      <c r="K14" s="30">
        <f>SUMPRODUCT((Март[№]=2)*Март[7],Март[Периодичность])</f>
        <v>0</v>
      </c>
      <c r="L14" s="30">
        <f>SUMPRODUCT((Март[№]=2)*Март[8],Март[Периодичность])</f>
        <v>0</v>
      </c>
      <c r="M14" s="30">
        <f>SUMPRODUCT((Март[№]=2)*Март[9],Март[Периодичность])</f>
        <v>0</v>
      </c>
      <c r="N14" s="30">
        <f>SUMPRODUCT((Март[№]=2)*Март[10],Март[Периодичность])</f>
        <v>0</v>
      </c>
      <c r="O14" s="30">
        <f>SUMPRODUCT((Март[№]=2)*Март[11],Март[Периодичность])</f>
        <v>0</v>
      </c>
      <c r="P14" s="30">
        <f>SUMPRODUCT((Март[№]=2)*Март[12],Март[Периодичность])</f>
        <v>0</v>
      </c>
      <c r="Q14" s="30">
        <f>SUMPRODUCT((Март[№]=2)*Март[13],Март[Периодичность])</f>
        <v>0</v>
      </c>
      <c r="R14" s="30">
        <f>SUMPRODUCT((Март[№]=2)*Март[14],Март[Периодичность])</f>
        <v>0</v>
      </c>
      <c r="S14" s="30">
        <f>SUMPRODUCT((Март[№]=2)*Март[15],Март[Периодичность])</f>
        <v>0</v>
      </c>
      <c r="T14" s="30">
        <f>SUMPRODUCT((Март[№]=2)*Март[16],Март[Периодичность])</f>
        <v>0</v>
      </c>
      <c r="U14" s="30">
        <f>SUMPRODUCT((Март[№]=2)*Март[17],Март[Периодичность])</f>
        <v>0</v>
      </c>
      <c r="V14" s="30">
        <f>SUMPRODUCT((Март[№]=2)*Март[18],Март[Периодичность])</f>
        <v>0</v>
      </c>
      <c r="W14" s="30">
        <f>SUMPRODUCT((Март[№]=2)*Март[19],Март[Периодичность])</f>
        <v>0</v>
      </c>
      <c r="X14" s="30">
        <f>SUMPRODUCT((Март[№]=2)*Март[20],Март[Периодичность])</f>
        <v>0</v>
      </c>
      <c r="Y14" s="30">
        <f>SUMPRODUCT((Март[№]=2)*Март[21],Март[Периодичность])</f>
        <v>0</v>
      </c>
      <c r="Z14" s="30">
        <f>SUMPRODUCT((Март[№]=2)*Март[22],Март[Периодичность])</f>
        <v>0</v>
      </c>
      <c r="AA14" s="30">
        <f>SUMPRODUCT((Март[№]=2)*Март[23],Март[Периодичность])</f>
        <v>0</v>
      </c>
      <c r="AB14" s="30">
        <f>SUMPRODUCT((Март[№]=2)*Март[24],Март[Периодичность])</f>
        <v>0</v>
      </c>
      <c r="AC14" s="30">
        <f>SUMPRODUCT((Март[№]=2)*Март[25],Март[Периодичность])</f>
        <v>0</v>
      </c>
      <c r="AD14" s="30">
        <f>SUMPRODUCT((Март[№]=2)*Март[26],Март[Периодичность])</f>
        <v>0</v>
      </c>
      <c r="AE14" s="30">
        <f>SUMPRODUCT((Март[№]=2)*Март[27],Март[Периодичность])</f>
        <v>0</v>
      </c>
      <c r="AF14" s="30">
        <f>SUMPRODUCT((Март[№]=2)*Март[28],Март[Периодичность])</f>
        <v>0</v>
      </c>
      <c r="AG14" s="30">
        <f>SUMPRODUCT((Март[№]=2)*Март[29],Март[Периодичность])</f>
        <v>0</v>
      </c>
      <c r="AH14" s="30">
        <f>SUMPRODUCT((Март[№]=2)*Март[30],Март[Периодичность])</f>
        <v>0</v>
      </c>
      <c r="AI14" s="30">
        <f>SUMPRODUCT((Март[№]=2)*Март[31],Март[Периодичность])</f>
        <v>0</v>
      </c>
      <c r="AL14" s="4"/>
    </row>
    <row r="15" spans="1:38" x14ac:dyDescent="0.25">
      <c r="B15" s="3">
        <f>SUMPRODUCT((Настройки!$E$23:$AI$23=3)*E16:AI16)</f>
        <v>0</v>
      </c>
      <c r="D15" s="5">
        <v>3</v>
      </c>
      <c r="E15" s="30">
        <f>SUMPRODUCT((Март[№]=3)*Март[1],Март[Периодичность])</f>
        <v>0</v>
      </c>
      <c r="F15" s="30">
        <f>SUMPRODUCT((Март[№]=3)*Март[2],Март[Периодичность])</f>
        <v>0</v>
      </c>
      <c r="G15" s="30">
        <f>SUMPRODUCT((Март[№]=3)*Март[3],Март[Периодичность])</f>
        <v>0</v>
      </c>
      <c r="H15" s="30">
        <f>SUMPRODUCT((Март[№]=3)*Март[4],Март[Периодичность])</f>
        <v>0</v>
      </c>
      <c r="I15" s="30">
        <f>SUMPRODUCT((Март[№]=3)*Март[5],Март[Периодичность])</f>
        <v>0</v>
      </c>
      <c r="J15" s="30">
        <f>SUMPRODUCT((Март[№]=3)*Март[6],Март[Периодичность])</f>
        <v>0</v>
      </c>
      <c r="K15" s="30">
        <f>SUMPRODUCT((Март[№]=3)*Март[7],Март[Периодичность])</f>
        <v>0</v>
      </c>
      <c r="L15" s="30">
        <f>SUMPRODUCT((Март[№]=3)*Март[8],Март[Периодичность])</f>
        <v>0</v>
      </c>
      <c r="M15" s="30">
        <f>SUMPRODUCT((Март[№]=3)*Март[9],Март[Периодичность])</f>
        <v>0</v>
      </c>
      <c r="N15" s="30">
        <f>SUMPRODUCT((Март[№]=3)*Март[10],Март[Периодичность])</f>
        <v>0</v>
      </c>
      <c r="O15" s="30">
        <f>SUMPRODUCT((Март[№]=3)*Март[11],Март[Периодичность])</f>
        <v>0</v>
      </c>
      <c r="P15" s="30">
        <f>SUMPRODUCT((Март[№]=3)*Март[12],Март[Периодичность])</f>
        <v>0</v>
      </c>
      <c r="Q15" s="30">
        <f>SUMPRODUCT((Март[№]=3)*Март[13],Март[Периодичность])</f>
        <v>0</v>
      </c>
      <c r="R15" s="30">
        <f>SUMPRODUCT((Март[№]=3)*Март[14],Март[Периодичность])</f>
        <v>0</v>
      </c>
      <c r="S15" s="30">
        <f>SUMPRODUCT((Март[№]=3)*Март[15],Март[Периодичность])</f>
        <v>0</v>
      </c>
      <c r="T15" s="30">
        <f>SUMPRODUCT((Март[№]=3)*Март[16],Март[Периодичность])</f>
        <v>0</v>
      </c>
      <c r="U15" s="30">
        <f>SUMPRODUCT((Март[№]=3)*Март[17],Март[Периодичность])</f>
        <v>0</v>
      </c>
      <c r="V15" s="30">
        <f>SUMPRODUCT((Март[№]=3)*Март[18],Март[Периодичность])</f>
        <v>0</v>
      </c>
      <c r="W15" s="30">
        <f>SUMPRODUCT((Март[№]=3)*Март[19],Март[Периодичность])</f>
        <v>0</v>
      </c>
      <c r="X15" s="30">
        <f>SUMPRODUCT((Март[№]=3)*Март[20],Март[Периодичность])</f>
        <v>0</v>
      </c>
      <c r="Y15" s="30">
        <f>SUMPRODUCT((Март[№]=3)*Март[21],Март[Периодичность])</f>
        <v>0</v>
      </c>
      <c r="Z15" s="30">
        <f>SUMPRODUCT((Март[№]=3)*Март[22],Март[Периодичность])</f>
        <v>0</v>
      </c>
      <c r="AA15" s="30">
        <f>SUMPRODUCT((Март[№]=3)*Март[23],Март[Периодичность])</f>
        <v>0</v>
      </c>
      <c r="AB15" s="30">
        <f>SUMPRODUCT((Март[№]=3)*Март[24],Март[Периодичность])</f>
        <v>0</v>
      </c>
      <c r="AC15" s="30">
        <f>SUMPRODUCT((Март[№]=3)*Март[25],Март[Периодичность])</f>
        <v>0</v>
      </c>
      <c r="AD15" s="30">
        <f>SUMPRODUCT((Март[№]=3)*Март[26],Март[Периодичность])</f>
        <v>0</v>
      </c>
      <c r="AE15" s="30">
        <f>SUMPRODUCT((Март[№]=3)*Март[27],Март[Периодичность])</f>
        <v>0</v>
      </c>
      <c r="AF15" s="30">
        <f>SUMPRODUCT((Март[№]=3)*Март[28],Март[Периодичность])</f>
        <v>0</v>
      </c>
      <c r="AG15" s="30">
        <f>SUMPRODUCT((Март[№]=3)*Март[29],Март[Периодичность])</f>
        <v>0</v>
      </c>
      <c r="AH15" s="30">
        <f>SUMPRODUCT((Март[№]=3)*Март[30],Март[Периодичность])</f>
        <v>0</v>
      </c>
      <c r="AI15" s="30">
        <f>SUMPRODUCT((Март[№]=3)*Март[31],Март[Периодичность])</f>
        <v>0</v>
      </c>
      <c r="AK15" s="11"/>
    </row>
    <row r="16" spans="1:38" ht="22.5" customHeight="1" x14ac:dyDescent="0.25">
      <c r="B16" s="3">
        <f>SUMPRODUCT((Настройки!$E$23:$AI$23=4)*E16:AI16)</f>
        <v>0</v>
      </c>
      <c r="D16" s="5"/>
      <c r="E16" s="30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I16" s="30">
        <f>SUM(AI13:AI15)</f>
        <v>0</v>
      </c>
      <c r="AK16" s="11"/>
    </row>
    <row r="17" spans="1:37" ht="22.5" customHeight="1" x14ac:dyDescent="0.25">
      <c r="B17" s="3">
        <f>SUMPRODUCT((Настройки!$E$23:$AI$23=5)*E16:AI16)</f>
        <v>0</v>
      </c>
      <c r="C17" s="5">
        <f>МартИтоги[[#This Row],[№]]*60</f>
        <v>0</v>
      </c>
      <c r="D17" s="7">
        <f>SUM(МартИтоги[[#This Row],[1]:[31]])</f>
        <v>0</v>
      </c>
      <c r="E17" s="31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31">
        <f>AI16/60</f>
        <v>0</v>
      </c>
      <c r="AJ17" s="3">
        <f ca="1">SUM(Март[УСЛУГ])</f>
        <v>0</v>
      </c>
      <c r="AK17" s="11">
        <f ca="1">SUM(Март[МИНУТ])</f>
        <v>0</v>
      </c>
    </row>
    <row r="18" spans="1:37" ht="20.25" customHeight="1" x14ac:dyDescent="0.25"/>
    <row r="19" spans="1:37" ht="22.5" customHeight="1" x14ac:dyDescent="0.25">
      <c r="A19" s="49" t="s">
        <v>52</v>
      </c>
      <c r="B19" s="49" t="s">
        <v>53</v>
      </c>
      <c r="C19" s="50"/>
      <c r="D19" s="51" t="s">
        <v>67</v>
      </c>
      <c r="E19" s="43" t="s">
        <v>55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5"/>
      <c r="AJ19" s="39" t="s">
        <v>70</v>
      </c>
      <c r="AK19" s="40" t="s">
        <v>70</v>
      </c>
    </row>
    <row r="20" spans="1:37" ht="18" customHeight="1" x14ac:dyDescent="0.25">
      <c r="A20" s="49"/>
      <c r="B20" s="49"/>
      <c r="C20" s="50"/>
      <c r="D20" s="52"/>
      <c r="E20" s="53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5"/>
      <c r="AJ20" s="39"/>
      <c r="AK20" s="41"/>
    </row>
    <row r="21" spans="1:37" ht="21.75" customHeight="1" x14ac:dyDescent="0.25">
      <c r="A21" s="49"/>
      <c r="B21" s="49"/>
      <c r="C21" s="50"/>
      <c r="D21" s="52"/>
      <c r="E21" s="26">
        <f>Настройки!E9</f>
        <v>44986</v>
      </c>
      <c r="F21" s="26">
        <f>Настройки!F9</f>
        <v>44987</v>
      </c>
      <c r="G21" s="26">
        <f>Настройки!G9</f>
        <v>44988</v>
      </c>
      <c r="H21" s="26">
        <f>Настройки!H9</f>
        <v>44989</v>
      </c>
      <c r="I21" s="26">
        <f>Настройки!I9</f>
        <v>44990</v>
      </c>
      <c r="J21" s="26">
        <f>Настройки!J9</f>
        <v>44991</v>
      </c>
      <c r="K21" s="26">
        <f>Настройки!K9</f>
        <v>44992</v>
      </c>
      <c r="L21" s="26">
        <f>Настройки!L9</f>
        <v>44993</v>
      </c>
      <c r="M21" s="26">
        <f>Настройки!M9</f>
        <v>44994</v>
      </c>
      <c r="N21" s="26">
        <f>Настройки!N9</f>
        <v>44995</v>
      </c>
      <c r="O21" s="26">
        <f>Настройки!O9</f>
        <v>44996</v>
      </c>
      <c r="P21" s="26">
        <f>Настройки!P9</f>
        <v>44997</v>
      </c>
      <c r="Q21" s="26">
        <f>Настройки!Q9</f>
        <v>44998</v>
      </c>
      <c r="R21" s="26">
        <f>Настройки!R9</f>
        <v>44999</v>
      </c>
      <c r="S21" s="26">
        <f>Настройки!S9</f>
        <v>45000</v>
      </c>
      <c r="T21" s="26">
        <f>Настройки!T9</f>
        <v>45001</v>
      </c>
      <c r="U21" s="26">
        <f>Настройки!U9</f>
        <v>45002</v>
      </c>
      <c r="V21" s="26">
        <f>Настройки!V9</f>
        <v>45003</v>
      </c>
      <c r="W21" s="26">
        <f>Настройки!W9</f>
        <v>45004</v>
      </c>
      <c r="X21" s="26">
        <f>Настройки!X9</f>
        <v>45005</v>
      </c>
      <c r="Y21" s="26">
        <f>Настройки!Y9</f>
        <v>45006</v>
      </c>
      <c r="Z21" s="26">
        <f>Настройки!Z9</f>
        <v>45007</v>
      </c>
      <c r="AA21" s="26">
        <f>Настройки!AA9</f>
        <v>45008</v>
      </c>
      <c r="AB21" s="26">
        <f>Настройки!AB9</f>
        <v>45009</v>
      </c>
      <c r="AC21" s="26">
        <f>Настройки!AC9</f>
        <v>45010</v>
      </c>
      <c r="AD21" s="26">
        <f>Настройки!AD9</f>
        <v>45011</v>
      </c>
      <c r="AE21" s="26">
        <f>Настройки!AE9</f>
        <v>45012</v>
      </c>
      <c r="AF21" s="26">
        <f>Настройки!AF9</f>
        <v>45013</v>
      </c>
      <c r="AG21" s="26">
        <f>Настройки!AG9</f>
        <v>45014</v>
      </c>
      <c r="AH21" s="26">
        <f>Настройки!AH9</f>
        <v>45015</v>
      </c>
      <c r="AI21" s="26">
        <f>Настройки!AI9</f>
        <v>45016</v>
      </c>
      <c r="AJ21" s="39"/>
      <c r="AK21" s="41"/>
    </row>
    <row r="22" spans="1:37" x14ac:dyDescent="0.25">
      <c r="A22" s="49"/>
      <c r="B22" s="49"/>
      <c r="C22" s="50"/>
      <c r="D22" s="52"/>
      <c r="E22" s="49" t="s">
        <v>54</v>
      </c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56"/>
      <c r="AJ22" s="39"/>
      <c r="AK22" s="41"/>
    </row>
    <row r="23" spans="1:37" x14ac:dyDescent="0.25">
      <c r="A23" s="49"/>
      <c r="B23" s="49"/>
      <c r="C23" s="50"/>
      <c r="D23" s="52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56"/>
      <c r="AJ23" s="39"/>
      <c r="AK23" s="42"/>
    </row>
    <row r="24" spans="1:37" ht="23.25" customHeight="1" x14ac:dyDescent="0.25">
      <c r="A24" s="3" t="s">
        <v>65</v>
      </c>
      <c r="B24" s="2" t="s">
        <v>63</v>
      </c>
      <c r="C24" s="3" t="s">
        <v>64</v>
      </c>
      <c r="D24" s="9" t="s">
        <v>66</v>
      </c>
      <c r="E24" s="3" t="s">
        <v>89</v>
      </c>
      <c r="F24" s="3" t="s">
        <v>90</v>
      </c>
      <c r="G24" s="3" t="s">
        <v>91</v>
      </c>
      <c r="H24" s="3" t="s">
        <v>92</v>
      </c>
      <c r="I24" s="3" t="s">
        <v>93</v>
      </c>
      <c r="J24" s="3" t="s">
        <v>94</v>
      </c>
      <c r="K24" s="3" t="s">
        <v>95</v>
      </c>
      <c r="L24" s="3" t="s">
        <v>96</v>
      </c>
      <c r="M24" s="3" t="s">
        <v>97</v>
      </c>
      <c r="N24" s="3" t="s">
        <v>98</v>
      </c>
      <c r="O24" s="3" t="s">
        <v>99</v>
      </c>
      <c r="P24" s="3" t="s">
        <v>100</v>
      </c>
      <c r="Q24" s="3" t="s">
        <v>101</v>
      </c>
      <c r="R24" s="3" t="s">
        <v>102</v>
      </c>
      <c r="S24" s="3" t="s">
        <v>103</v>
      </c>
      <c r="T24" s="3" t="s">
        <v>104</v>
      </c>
      <c r="U24" s="3" t="s">
        <v>105</v>
      </c>
      <c r="V24" s="3" t="s">
        <v>106</v>
      </c>
      <c r="W24" s="3" t="s">
        <v>107</v>
      </c>
      <c r="X24" s="3" t="s">
        <v>108</v>
      </c>
      <c r="Y24" s="3" t="s">
        <v>109</v>
      </c>
      <c r="Z24" s="3" t="s">
        <v>110</v>
      </c>
      <c r="AA24" s="3" t="s">
        <v>111</v>
      </c>
      <c r="AB24" s="3" t="s">
        <v>112</v>
      </c>
      <c r="AC24" s="3" t="s">
        <v>113</v>
      </c>
      <c r="AD24" s="3" t="s">
        <v>114</v>
      </c>
      <c r="AE24" s="3" t="s">
        <v>115</v>
      </c>
      <c r="AF24" s="3" t="s">
        <v>116</v>
      </c>
      <c r="AG24" s="3" t="s">
        <v>117</v>
      </c>
      <c r="AH24" s="3" t="s">
        <v>118</v>
      </c>
      <c r="AI24" s="3" t="s">
        <v>127</v>
      </c>
      <c r="AJ24" s="3" t="s">
        <v>68</v>
      </c>
      <c r="AK24" s="3" t="s">
        <v>69</v>
      </c>
    </row>
    <row r="25" spans="1:37" ht="31.5" x14ac:dyDescent="0.25">
      <c r="A25" s="16" t="s">
        <v>1</v>
      </c>
      <c r="B25" s="2" t="s">
        <v>56</v>
      </c>
      <c r="C25" s="8">
        <v>60</v>
      </c>
      <c r="D25" s="11">
        <v>1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5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25" s="5">
        <f ca="1">IF(Март[[#This Row],[УСЛУГ]]&lt;&gt;"",Март[[#This Row],[УСЛУГ]]*Март[[#This Row],[Периодичность]],"")</f>
        <v>0</v>
      </c>
    </row>
    <row r="26" spans="1:37" x14ac:dyDescent="0.25">
      <c r="A26" s="16"/>
      <c r="B26" s="2"/>
      <c r="C26" s="8">
        <v>60</v>
      </c>
      <c r="D26" s="11">
        <v>2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5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26" s="5" t="str">
        <f ca="1">IF(Март[[#This Row],[УСЛУГ]]&lt;&gt;"",Март[[#This Row],[УСЛУГ]]*Март[[#This Row],[Периодичность]],"")</f>
        <v/>
      </c>
    </row>
    <row r="27" spans="1:37" x14ac:dyDescent="0.25">
      <c r="A27" s="16"/>
      <c r="B27" s="2"/>
      <c r="C27" s="8">
        <v>60</v>
      </c>
      <c r="D27" s="11">
        <v>3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5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27" s="5" t="str">
        <f ca="1">IF(Март[[#This Row],[УСЛУГ]]&lt;&gt;"",Март[[#This Row],[УСЛУГ]]*Март[[#This Row],[Периодичность]],"")</f>
        <v/>
      </c>
    </row>
    <row r="28" spans="1:37" ht="31.5" x14ac:dyDescent="0.25">
      <c r="A28" s="16" t="s">
        <v>3</v>
      </c>
      <c r="B28" s="2" t="s">
        <v>58</v>
      </c>
      <c r="C28" s="8">
        <v>10</v>
      </c>
      <c r="D28" s="11">
        <v>1</v>
      </c>
      <c r="E28" s="18"/>
      <c r="F28" s="18"/>
      <c r="G28" s="18"/>
      <c r="H28" s="18"/>
      <c r="I28" s="18"/>
      <c r="J28" s="18"/>
      <c r="K28" s="10"/>
      <c r="L28" s="10"/>
      <c r="M28" s="10"/>
      <c r="N28" s="10"/>
      <c r="O28" s="10"/>
      <c r="P28" s="18"/>
      <c r="Q28" s="18"/>
      <c r="R28" s="10"/>
      <c r="S28" s="10"/>
      <c r="T28" s="10"/>
      <c r="U28" s="10"/>
      <c r="V28" s="10"/>
      <c r="W28" s="18"/>
      <c r="X28" s="18"/>
      <c r="Y28" s="10"/>
      <c r="Z28" s="10"/>
      <c r="AA28" s="10"/>
      <c r="AB28" s="10"/>
      <c r="AC28" s="10"/>
      <c r="AD28" s="18"/>
      <c r="AE28" s="18"/>
      <c r="AF28" s="18"/>
      <c r="AG28" s="18"/>
      <c r="AH28" s="18"/>
      <c r="AI28" s="20"/>
      <c r="AJ28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28" s="29">
        <f ca="1">IF(Март[[#This Row],[УСЛУГ]]&lt;&gt;"",Март[[#This Row],[УСЛУГ]]*Март[[#This Row],[Периодичность]],"")</f>
        <v>0</v>
      </c>
    </row>
    <row r="29" spans="1:37" ht="18.75" x14ac:dyDescent="0.25">
      <c r="A29" s="16"/>
      <c r="B29" s="2"/>
      <c r="C29" s="8">
        <v>10</v>
      </c>
      <c r="D29" s="11">
        <v>2</v>
      </c>
      <c r="E29" s="18"/>
      <c r="F29" s="18"/>
      <c r="G29" s="18"/>
      <c r="H29" s="18"/>
      <c r="I29" s="18"/>
      <c r="J29" s="18"/>
      <c r="K29" s="10"/>
      <c r="L29" s="10"/>
      <c r="M29" s="10"/>
      <c r="N29" s="10"/>
      <c r="O29" s="10"/>
      <c r="P29" s="18"/>
      <c r="Q29" s="18"/>
      <c r="R29" s="10"/>
      <c r="S29" s="10"/>
      <c r="T29" s="10"/>
      <c r="U29" s="10"/>
      <c r="V29" s="10"/>
      <c r="W29" s="18"/>
      <c r="X29" s="18"/>
      <c r="Y29" s="10"/>
      <c r="Z29" s="10"/>
      <c r="AA29" s="10"/>
      <c r="AB29" s="10"/>
      <c r="AC29" s="10"/>
      <c r="AD29" s="18"/>
      <c r="AE29" s="18"/>
      <c r="AF29" s="18"/>
      <c r="AG29" s="18"/>
      <c r="AH29" s="18"/>
      <c r="AI29" s="20"/>
      <c r="AJ29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29" s="29" t="str">
        <f ca="1">IF(Март[[#This Row],[УСЛУГ]]&lt;&gt;"",Март[[#This Row],[УСЛУГ]]*Март[[#This Row],[Периодичность]],"")</f>
        <v/>
      </c>
    </row>
    <row r="30" spans="1:37" x14ac:dyDescent="0.25">
      <c r="A30" s="16"/>
      <c r="B30" s="2"/>
      <c r="C30" s="8">
        <v>10</v>
      </c>
      <c r="D30" s="11">
        <v>3</v>
      </c>
      <c r="E30" s="18"/>
      <c r="F30" s="18"/>
      <c r="G30" s="18"/>
      <c r="H30" s="18"/>
      <c r="I30" s="18"/>
      <c r="J30" s="18"/>
      <c r="K30" s="10"/>
      <c r="L30" s="10"/>
      <c r="M30" s="10"/>
      <c r="N30" s="10"/>
      <c r="O30" s="10"/>
      <c r="P30" s="18"/>
      <c r="Q30" s="18"/>
      <c r="R30" s="10"/>
      <c r="S30" s="10"/>
      <c r="T30" s="10"/>
      <c r="U30" s="10"/>
      <c r="V30" s="10"/>
      <c r="W30" s="18"/>
      <c r="X30" s="18"/>
      <c r="Y30" s="10"/>
      <c r="Z30" s="10"/>
      <c r="AA30" s="10"/>
      <c r="AB30" s="10"/>
      <c r="AC30" s="10"/>
      <c r="AD30" s="18"/>
      <c r="AE30" s="18"/>
      <c r="AF30" s="18"/>
      <c r="AG30" s="18"/>
      <c r="AH30" s="18"/>
      <c r="AI30" s="19"/>
      <c r="AJ30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30" s="29" t="str">
        <f ca="1">IF(Март[[#This Row],[УСЛУГ]]&lt;&gt;"",Март[[#This Row],[УСЛУГ]]*Март[[#This Row],[Периодичность]],"")</f>
        <v/>
      </c>
    </row>
    <row r="31" spans="1:37" x14ac:dyDescent="0.25">
      <c r="A31" s="16" t="s">
        <v>5</v>
      </c>
      <c r="B31" s="2" t="s">
        <v>58</v>
      </c>
      <c r="C31" s="8">
        <v>30</v>
      </c>
      <c r="D31" s="11">
        <v>1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31" s="29">
        <f ca="1">IF(Март[[#This Row],[УСЛУГ]]&lt;&gt;"",Март[[#This Row],[УСЛУГ]]*Март[[#This Row],[Периодичность]],"")</f>
        <v>0</v>
      </c>
    </row>
    <row r="32" spans="1:37" x14ac:dyDescent="0.25">
      <c r="A32" s="16"/>
      <c r="B32" s="2"/>
      <c r="C32" s="8">
        <v>30</v>
      </c>
      <c r="D32" s="11">
        <v>2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32" s="29" t="str">
        <f ca="1">IF(Март[[#This Row],[УСЛУГ]]&lt;&gt;"",Март[[#This Row],[УСЛУГ]]*Март[[#This Row],[Периодичность]],"")</f>
        <v/>
      </c>
    </row>
    <row r="33" spans="1:37" x14ac:dyDescent="0.25">
      <c r="A33" s="16"/>
      <c r="B33" s="2"/>
      <c r="C33" s="8">
        <v>30</v>
      </c>
      <c r="D33" s="11">
        <v>3</v>
      </c>
      <c r="E33" s="18"/>
      <c r="F33" s="18"/>
      <c r="G33" s="18"/>
      <c r="H33" s="18"/>
      <c r="I33" s="18"/>
      <c r="J33" s="18"/>
      <c r="K33" s="10"/>
      <c r="L33" s="10"/>
      <c r="M33" s="10"/>
      <c r="N33" s="10"/>
      <c r="O33" s="10"/>
      <c r="P33" s="18"/>
      <c r="Q33" s="18"/>
      <c r="R33" s="10"/>
      <c r="S33" s="10"/>
      <c r="T33" s="10"/>
      <c r="U33" s="10"/>
      <c r="V33" s="10"/>
      <c r="W33" s="18"/>
      <c r="X33" s="18"/>
      <c r="Y33" s="10"/>
      <c r="Z33" s="10"/>
      <c r="AA33" s="10"/>
      <c r="AB33" s="10"/>
      <c r="AC33" s="10"/>
      <c r="AD33" s="18"/>
      <c r="AE33" s="18"/>
      <c r="AF33" s="18"/>
      <c r="AG33" s="18"/>
      <c r="AH33" s="18"/>
      <c r="AI33" s="19"/>
      <c r="AJ33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33" s="29" t="str">
        <f ca="1">IF(Март[[#This Row],[УСЛУГ]]&lt;&gt;"",Март[[#This Row],[УСЛУГ]]*Март[[#This Row],[Периодичность]],"")</f>
        <v/>
      </c>
    </row>
    <row r="34" spans="1:37" ht="47.25" x14ac:dyDescent="0.25">
      <c r="A34" s="16" t="s">
        <v>85</v>
      </c>
      <c r="B34" s="2" t="s">
        <v>58</v>
      </c>
      <c r="C34" s="8">
        <v>3</v>
      </c>
      <c r="D34" s="11">
        <v>1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20"/>
      <c r="AJ34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34" s="29">
        <f ca="1">IF(Март[[#This Row],[УСЛУГ]]&lt;&gt;"",Март[[#This Row],[УСЛУГ]]*Март[[#This Row],[Периодичность]],"")</f>
        <v>0</v>
      </c>
    </row>
    <row r="35" spans="1:37" ht="18.75" x14ac:dyDescent="0.25">
      <c r="A35" s="16"/>
      <c r="B35" s="2"/>
      <c r="C35" s="8">
        <v>3</v>
      </c>
      <c r="D35" s="11">
        <v>2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20"/>
      <c r="AJ35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35" s="29" t="str">
        <f ca="1">IF(Март[[#This Row],[УСЛУГ]]&lt;&gt;"",Март[[#This Row],[УСЛУГ]]*Март[[#This Row],[Периодичность]],"")</f>
        <v/>
      </c>
    </row>
    <row r="36" spans="1:37" ht="18.75" x14ac:dyDescent="0.25">
      <c r="A36" s="16"/>
      <c r="B36" s="2"/>
      <c r="C36" s="8">
        <v>3</v>
      </c>
      <c r="D36" s="11">
        <v>3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20"/>
      <c r="AJ36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36" s="29" t="str">
        <f ca="1">IF(Март[[#This Row],[УСЛУГ]]&lt;&gt;"",Март[[#This Row],[УСЛУГ]]*Март[[#This Row],[Периодичность]],"")</f>
        <v/>
      </c>
    </row>
    <row r="37" spans="1:37" ht="18.75" x14ac:dyDescent="0.25">
      <c r="A37" s="16" t="s">
        <v>8</v>
      </c>
      <c r="B37" s="2" t="s">
        <v>59</v>
      </c>
      <c r="C37" s="8">
        <v>15</v>
      </c>
      <c r="D37" s="11">
        <v>1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20"/>
      <c r="AJ37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37" s="29">
        <f ca="1">IF(Март[[#This Row],[УСЛУГ]]&lt;&gt;"",Март[[#This Row],[УСЛУГ]]*Март[[#This Row],[Периодичность]],"")</f>
        <v>0</v>
      </c>
    </row>
    <row r="38" spans="1:37" ht="18.75" x14ac:dyDescent="0.25">
      <c r="A38" s="16"/>
      <c r="B38" s="2"/>
      <c r="C38" s="8">
        <v>15</v>
      </c>
      <c r="D38" s="11">
        <v>2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0"/>
      <c r="AJ38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38" s="29" t="str">
        <f ca="1">IF(Март[[#This Row],[УСЛУГ]]&lt;&gt;"",Март[[#This Row],[УСЛУГ]]*Март[[#This Row],[Периодичность]],"")</f>
        <v/>
      </c>
    </row>
    <row r="39" spans="1:37" ht="18.75" x14ac:dyDescent="0.25">
      <c r="A39" s="16"/>
      <c r="B39" s="2"/>
      <c r="C39" s="8">
        <v>15</v>
      </c>
      <c r="D39" s="11">
        <v>3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20"/>
      <c r="AJ39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39" s="29" t="str">
        <f ca="1">IF(Март[[#This Row],[УСЛУГ]]&lt;&gt;"",Март[[#This Row],[УСЛУГ]]*Март[[#This Row],[Периодичность]],"")</f>
        <v/>
      </c>
    </row>
    <row r="40" spans="1:37" ht="47.25" x14ac:dyDescent="0.25">
      <c r="A40" s="16" t="s">
        <v>84</v>
      </c>
      <c r="B40" s="2" t="s">
        <v>61</v>
      </c>
      <c r="C40" s="8">
        <v>49</v>
      </c>
      <c r="D40" s="11">
        <v>1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20"/>
      <c r="AJ40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40" s="29">
        <f ca="1">IF(Март[[#This Row],[УСЛУГ]]&lt;&gt;"",Март[[#This Row],[УСЛУГ]]*Март[[#This Row],[Периодичность]],"")</f>
        <v>0</v>
      </c>
    </row>
    <row r="41" spans="1:37" ht="18.75" x14ac:dyDescent="0.25">
      <c r="A41" s="16"/>
      <c r="B41" s="2"/>
      <c r="C41" s="8">
        <v>49</v>
      </c>
      <c r="D41" s="11">
        <v>2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20"/>
      <c r="AJ41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41" s="29" t="str">
        <f ca="1">IF(Март[[#This Row],[УСЛУГ]]&lt;&gt;"",Март[[#This Row],[УСЛУГ]]*Март[[#This Row],[Периодичность]],"")</f>
        <v/>
      </c>
    </row>
    <row r="42" spans="1:37" ht="18.75" x14ac:dyDescent="0.25">
      <c r="A42" s="16"/>
      <c r="B42" s="2"/>
      <c r="C42" s="8">
        <v>49</v>
      </c>
      <c r="D42" s="11">
        <v>3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20"/>
      <c r="AJ42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42" s="29" t="str">
        <f ca="1">IF(Март[[#This Row],[УСЛУГ]]&lt;&gt;"",Март[[#This Row],[УСЛУГ]]*Март[[#This Row],[Периодичность]],"")</f>
        <v/>
      </c>
    </row>
    <row r="43" spans="1:37" ht="31.5" x14ac:dyDescent="0.25">
      <c r="A43" s="16" t="s">
        <v>13</v>
      </c>
      <c r="B43" s="2" t="s">
        <v>59</v>
      </c>
      <c r="C43" s="8">
        <v>12</v>
      </c>
      <c r="D43" s="11">
        <v>1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43" s="29">
        <f ca="1">IF(Март[[#This Row],[УСЛУГ]]&lt;&gt;"",Март[[#This Row],[УСЛУГ]]*Март[[#This Row],[Периодичность]],"")</f>
        <v>0</v>
      </c>
    </row>
    <row r="44" spans="1:37" ht="18.75" x14ac:dyDescent="0.25">
      <c r="A44" s="16"/>
      <c r="B44" s="2"/>
      <c r="C44" s="8">
        <v>12</v>
      </c>
      <c r="D44" s="11">
        <v>2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20"/>
      <c r="AJ44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44" s="29" t="str">
        <f ca="1">IF(Март[[#This Row],[УСЛУГ]]&lt;&gt;"",Март[[#This Row],[УСЛУГ]]*Март[[#This Row],[Периодичность]],"")</f>
        <v/>
      </c>
    </row>
    <row r="45" spans="1:37" x14ac:dyDescent="0.25">
      <c r="A45" s="16"/>
      <c r="B45" s="2"/>
      <c r="C45" s="8">
        <v>12</v>
      </c>
      <c r="D45" s="11">
        <v>3</v>
      </c>
      <c r="E45" s="18"/>
      <c r="F45" s="18"/>
      <c r="G45" s="18"/>
      <c r="H45" s="18"/>
      <c r="I45" s="18"/>
      <c r="J45" s="18"/>
      <c r="K45" s="10"/>
      <c r="L45" s="10"/>
      <c r="M45" s="10"/>
      <c r="N45" s="10"/>
      <c r="O45" s="10"/>
      <c r="P45" s="18"/>
      <c r="Q45" s="18"/>
      <c r="R45" s="10"/>
      <c r="S45" s="10"/>
      <c r="T45" s="10"/>
      <c r="U45" s="10"/>
      <c r="V45" s="10"/>
      <c r="W45" s="18"/>
      <c r="X45" s="18"/>
      <c r="Y45" s="10"/>
      <c r="Z45" s="10"/>
      <c r="AA45" s="10"/>
      <c r="AB45" s="10"/>
      <c r="AC45" s="10"/>
      <c r="AD45" s="18"/>
      <c r="AE45" s="18"/>
      <c r="AF45" s="18"/>
      <c r="AG45" s="18"/>
      <c r="AH45" s="18"/>
      <c r="AI45" s="19"/>
      <c r="AJ45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45" s="29" t="str">
        <f ca="1">IF(Март[[#This Row],[УСЛУГ]]&lt;&gt;"",Март[[#This Row],[УСЛУГ]]*Март[[#This Row],[Периодичность]],"")</f>
        <v/>
      </c>
    </row>
    <row r="46" spans="1:37" ht="18.75" x14ac:dyDescent="0.25">
      <c r="A46" s="16" t="s">
        <v>16</v>
      </c>
      <c r="B46" s="2" t="s">
        <v>59</v>
      </c>
      <c r="C46" s="8">
        <v>15</v>
      </c>
      <c r="D46" s="11">
        <v>1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20"/>
      <c r="AJ46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46" s="29">
        <f ca="1">IF(Март[[#This Row],[УСЛУГ]]&lt;&gt;"",Март[[#This Row],[УСЛУГ]]*Март[[#This Row],[Периодичность]],"")</f>
        <v>0</v>
      </c>
    </row>
    <row r="47" spans="1:37" ht="18.75" x14ac:dyDescent="0.25">
      <c r="A47" s="16"/>
      <c r="B47" s="2"/>
      <c r="C47" s="8">
        <v>15</v>
      </c>
      <c r="D47" s="11">
        <v>2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20"/>
      <c r="AJ47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47" s="29" t="str">
        <f ca="1">IF(Март[[#This Row],[УСЛУГ]]&lt;&gt;"",Март[[#This Row],[УСЛУГ]]*Март[[#This Row],[Периодичность]],"")</f>
        <v/>
      </c>
    </row>
    <row r="48" spans="1:37" ht="18.75" x14ac:dyDescent="0.25">
      <c r="A48" s="16"/>
      <c r="B48" s="2"/>
      <c r="C48" s="8">
        <v>15</v>
      </c>
      <c r="D48" s="11">
        <v>3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20"/>
      <c r="AJ48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48" s="29" t="str">
        <f ca="1">IF(Март[[#This Row],[УСЛУГ]]&lt;&gt;"",Март[[#This Row],[УСЛУГ]]*Март[[#This Row],[Периодичность]],"")</f>
        <v/>
      </c>
    </row>
    <row r="49" spans="1:37" ht="31.5" x14ac:dyDescent="0.25">
      <c r="A49" s="16" t="s">
        <v>25</v>
      </c>
      <c r="B49" s="2" t="s">
        <v>59</v>
      </c>
      <c r="C49" s="8">
        <v>10</v>
      </c>
      <c r="D49" s="11">
        <v>1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49" s="29">
        <f ca="1">IF(Март[[#This Row],[УСЛУГ]]&lt;&gt;"",Март[[#This Row],[УСЛУГ]]*Март[[#This Row],[Периодичность]],"")</f>
        <v>0</v>
      </c>
    </row>
    <row r="50" spans="1:37" x14ac:dyDescent="0.25">
      <c r="A50" s="16"/>
      <c r="B50" s="2"/>
      <c r="C50" s="8">
        <v>10</v>
      </c>
      <c r="D50" s="11">
        <v>2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50" s="29" t="str">
        <f ca="1">IF(Март[[#This Row],[УСЛУГ]]&lt;&gt;"",Март[[#This Row],[УСЛУГ]]*Март[[#This Row],[Периодичность]],"")</f>
        <v/>
      </c>
    </row>
    <row r="51" spans="1:37" ht="18.75" x14ac:dyDescent="0.25">
      <c r="A51" s="16"/>
      <c r="B51" s="2"/>
      <c r="C51" s="8">
        <v>10</v>
      </c>
      <c r="D51" s="11">
        <v>3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20"/>
      <c r="AJ51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51" s="29" t="str">
        <f ca="1">IF(Март[[#This Row],[УСЛУГ]]&lt;&gt;"",Март[[#This Row],[УСЛУГ]]*Март[[#This Row],[Периодичность]],"")</f>
        <v/>
      </c>
    </row>
    <row r="52" spans="1:37" ht="31.5" x14ac:dyDescent="0.25">
      <c r="A52" s="16" t="s">
        <v>27</v>
      </c>
      <c r="B52" s="2" t="s">
        <v>59</v>
      </c>
      <c r="C52" s="8">
        <v>15</v>
      </c>
      <c r="D52" s="11">
        <v>1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20"/>
      <c r="AJ52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52" s="29">
        <f ca="1">IF(Март[[#This Row],[УСЛУГ]]&lt;&gt;"",Март[[#This Row],[УСЛУГ]]*Март[[#This Row],[Периодичность]],"")</f>
        <v>0</v>
      </c>
    </row>
    <row r="53" spans="1:37" ht="18.75" x14ac:dyDescent="0.25">
      <c r="A53" s="16"/>
      <c r="B53" s="2"/>
      <c r="C53" s="8">
        <v>15</v>
      </c>
      <c r="D53" s="11">
        <v>2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20"/>
      <c r="AJ53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53" s="29" t="str">
        <f ca="1">IF(Март[[#This Row],[УСЛУГ]]&lt;&gt;"",Март[[#This Row],[УСЛУГ]]*Март[[#This Row],[Периодичность]],"")</f>
        <v/>
      </c>
    </row>
    <row r="54" spans="1:37" ht="18.75" x14ac:dyDescent="0.25">
      <c r="A54" s="16"/>
      <c r="B54" s="2"/>
      <c r="C54" s="8">
        <v>15</v>
      </c>
      <c r="D54" s="11">
        <v>3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20"/>
      <c r="AJ54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54" s="29" t="str">
        <f ca="1">IF(Март[[#This Row],[УСЛУГ]]&lt;&gt;"",Март[[#This Row],[УСЛУГ]]*Март[[#This Row],[Периодичность]],"")</f>
        <v/>
      </c>
    </row>
    <row r="55" spans="1:37" ht="31.5" x14ac:dyDescent="0.25">
      <c r="A55" s="16" t="s">
        <v>29</v>
      </c>
      <c r="B55" s="2" t="s">
        <v>61</v>
      </c>
      <c r="C55" s="8">
        <v>15</v>
      </c>
      <c r="D55" s="11">
        <v>1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20"/>
      <c r="AJ55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55" s="29">
        <f ca="1">IF(Март[[#This Row],[УСЛУГ]]&lt;&gt;"",Март[[#This Row],[УСЛУГ]]*Март[[#This Row],[Периодичность]],"")</f>
        <v>0</v>
      </c>
    </row>
    <row r="56" spans="1:37" ht="18.75" x14ac:dyDescent="0.25">
      <c r="A56" s="16"/>
      <c r="B56" s="2"/>
      <c r="C56" s="8">
        <v>15</v>
      </c>
      <c r="D56" s="11">
        <v>2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20"/>
      <c r="AJ56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56" s="29" t="str">
        <f ca="1">IF(Март[[#This Row],[УСЛУГ]]&lt;&gt;"",Март[[#This Row],[УСЛУГ]]*Март[[#This Row],[Периодичность]],"")</f>
        <v/>
      </c>
    </row>
    <row r="57" spans="1:37" ht="18.75" x14ac:dyDescent="0.25">
      <c r="A57" s="16"/>
      <c r="B57" s="2"/>
      <c r="C57" s="8">
        <v>15</v>
      </c>
      <c r="D57" s="11">
        <v>3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20"/>
      <c r="AJ57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57" s="29" t="str">
        <f ca="1">IF(Март[[#This Row],[УСЛУГ]]&lt;&gt;"",Март[[#This Row],[УСЛУГ]]*Март[[#This Row],[Периодичность]],"")</f>
        <v/>
      </c>
    </row>
    <row r="58" spans="1:37" ht="47.25" x14ac:dyDescent="0.25">
      <c r="A58" s="16" t="s">
        <v>83</v>
      </c>
      <c r="B58" s="2" t="s">
        <v>58</v>
      </c>
      <c r="C58" s="8">
        <v>10</v>
      </c>
      <c r="D58" s="11">
        <v>1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20"/>
      <c r="AJ58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58" s="29">
        <f ca="1">IF(Март[[#This Row],[УСЛУГ]]&lt;&gt;"",Март[[#This Row],[УСЛУГ]]*Март[[#This Row],[Периодичность]],"")</f>
        <v>0</v>
      </c>
    </row>
    <row r="59" spans="1:37" ht="18.75" x14ac:dyDescent="0.25">
      <c r="A59" s="16"/>
      <c r="B59" s="2"/>
      <c r="C59" s="8">
        <v>10</v>
      </c>
      <c r="D59" s="11">
        <v>2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20"/>
      <c r="AJ59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59" s="29" t="str">
        <f ca="1">IF(Март[[#This Row],[УСЛУГ]]&lt;&gt;"",Март[[#This Row],[УСЛУГ]]*Март[[#This Row],[Периодичность]],"")</f>
        <v/>
      </c>
    </row>
    <row r="60" spans="1:37" ht="18.75" x14ac:dyDescent="0.25">
      <c r="A60" s="16"/>
      <c r="B60" s="2"/>
      <c r="C60" s="8">
        <v>10</v>
      </c>
      <c r="D60" s="11">
        <v>3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20"/>
      <c r="AJ60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60" s="29" t="str">
        <f ca="1">IF(Март[[#This Row],[УСЛУГ]]&lt;&gt;"",Март[[#This Row],[УСЛУГ]]*Март[[#This Row],[Периодичность]],"")</f>
        <v/>
      </c>
    </row>
    <row r="61" spans="1:37" ht="47.25" x14ac:dyDescent="0.25">
      <c r="A61" s="16" t="s">
        <v>82</v>
      </c>
      <c r="B61" s="2" t="s">
        <v>59</v>
      </c>
      <c r="C61" s="8">
        <v>10</v>
      </c>
      <c r="D61" s="11">
        <v>1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20"/>
      <c r="AJ61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61" s="29">
        <f ca="1">IF(Март[[#This Row],[УСЛУГ]]&lt;&gt;"",Март[[#This Row],[УСЛУГ]]*Март[[#This Row],[Периодичность]],"")</f>
        <v>0</v>
      </c>
    </row>
    <row r="62" spans="1:37" ht="18.75" x14ac:dyDescent="0.25">
      <c r="A62" s="16"/>
      <c r="B62" s="2"/>
      <c r="C62" s="8">
        <v>10</v>
      </c>
      <c r="D62" s="11">
        <v>2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20"/>
      <c r="AJ62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62" s="29" t="str">
        <f ca="1">IF(Март[[#This Row],[УСЛУГ]]&lt;&gt;"",Март[[#This Row],[УСЛУГ]]*Март[[#This Row],[Периодичность]],"")</f>
        <v/>
      </c>
    </row>
    <row r="63" spans="1:37" ht="18.75" x14ac:dyDescent="0.25">
      <c r="A63" s="16"/>
      <c r="B63" s="2"/>
      <c r="C63" s="8">
        <v>10</v>
      </c>
      <c r="D63" s="11">
        <v>3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20"/>
      <c r="AJ63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63" s="29" t="str">
        <f ca="1">IF(Март[[#This Row],[УСЛУГ]]&lt;&gt;"",Март[[#This Row],[УСЛУГ]]*Март[[#This Row],[Периодичность]],"")</f>
        <v/>
      </c>
    </row>
    <row r="64" spans="1:37" ht="31.5" x14ac:dyDescent="0.25">
      <c r="A64" s="16" t="s">
        <v>37</v>
      </c>
      <c r="B64" s="2" t="s">
        <v>60</v>
      </c>
      <c r="C64" s="8">
        <v>5</v>
      </c>
      <c r="D64" s="11">
        <v>1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64" s="29">
        <f ca="1">IF(Март[[#This Row],[УСЛУГ]]&lt;&gt;"",Март[[#This Row],[УСЛУГ]]*Март[[#This Row],[Периодичность]],"")</f>
        <v>0</v>
      </c>
    </row>
    <row r="65" spans="1:37" ht="18.75" x14ac:dyDescent="0.25">
      <c r="A65" s="16"/>
      <c r="B65" s="2"/>
      <c r="C65" s="8">
        <v>5</v>
      </c>
      <c r="D65" s="11">
        <v>2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20"/>
      <c r="AJ65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65" s="29" t="str">
        <f ca="1">IF(Март[[#This Row],[УСЛУГ]]&lt;&gt;"",Март[[#This Row],[УСЛУГ]]*Март[[#This Row],[Периодичность]],"")</f>
        <v/>
      </c>
    </row>
    <row r="66" spans="1:37" x14ac:dyDescent="0.25">
      <c r="A66" s="16"/>
      <c r="B66" s="2"/>
      <c r="C66" s="8">
        <v>5</v>
      </c>
      <c r="D66" s="11">
        <v>3</v>
      </c>
      <c r="E66" s="18"/>
      <c r="F66" s="18"/>
      <c r="G66" s="18"/>
      <c r="H66" s="18"/>
      <c r="I66" s="18"/>
      <c r="J66" s="18"/>
      <c r="K66" s="10"/>
      <c r="L66" s="10"/>
      <c r="M66" s="10"/>
      <c r="N66" s="10"/>
      <c r="O66" s="10"/>
      <c r="P66" s="18"/>
      <c r="Q66" s="18"/>
      <c r="R66" s="10"/>
      <c r="S66" s="10"/>
      <c r="T66" s="10"/>
      <c r="U66" s="10"/>
      <c r="V66" s="10"/>
      <c r="W66" s="18"/>
      <c r="X66" s="18"/>
      <c r="Y66" s="10"/>
      <c r="Z66" s="10"/>
      <c r="AA66" s="10"/>
      <c r="AB66" s="10"/>
      <c r="AC66" s="10"/>
      <c r="AD66" s="18"/>
      <c r="AE66" s="18"/>
      <c r="AF66" s="18"/>
      <c r="AG66" s="18"/>
      <c r="AH66" s="18"/>
      <c r="AI66" s="19"/>
      <c r="AJ66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66" s="29" t="str">
        <f ca="1">IF(Март[[#This Row],[УСЛУГ]]&lt;&gt;"",Март[[#This Row],[УСЛУГ]]*Март[[#This Row],[Периодичность]],"")</f>
        <v/>
      </c>
    </row>
    <row r="67" spans="1:37" ht="18.75" x14ac:dyDescent="0.25">
      <c r="A67" s="16" t="s">
        <v>38</v>
      </c>
      <c r="B67" s="2" t="s">
        <v>59</v>
      </c>
      <c r="C67" s="8">
        <v>7</v>
      </c>
      <c r="D67" s="11">
        <v>1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20"/>
      <c r="AJ67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67" s="29">
        <f ca="1">IF(Март[[#This Row],[УСЛУГ]]&lt;&gt;"",Март[[#This Row],[УСЛУГ]]*Март[[#This Row],[Периодичность]],"")</f>
        <v>0</v>
      </c>
    </row>
    <row r="68" spans="1:37" ht="18.75" x14ac:dyDescent="0.25">
      <c r="A68" s="16"/>
      <c r="B68" s="2"/>
      <c r="C68" s="8">
        <v>7</v>
      </c>
      <c r="D68" s="11">
        <v>2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20"/>
      <c r="AJ68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68" s="29" t="str">
        <f ca="1">IF(Март[[#This Row],[УСЛУГ]]&lt;&gt;"",Март[[#This Row],[УСЛУГ]]*Март[[#This Row],[Периодичность]],"")</f>
        <v/>
      </c>
    </row>
    <row r="69" spans="1:37" ht="18.75" x14ac:dyDescent="0.25">
      <c r="A69" s="16"/>
      <c r="B69" s="2"/>
      <c r="C69" s="8">
        <v>7</v>
      </c>
      <c r="D69" s="11">
        <v>3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20"/>
      <c r="AJ69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69" s="29" t="str">
        <f ca="1">IF(Март[[#This Row],[УСЛУГ]]&lt;&gt;"",Март[[#This Row],[УСЛУГ]]*Март[[#This Row],[Периодичность]],"")</f>
        <v/>
      </c>
    </row>
    <row r="70" spans="1:37" ht="47.25" x14ac:dyDescent="0.25">
      <c r="A70" s="16" t="s">
        <v>81</v>
      </c>
      <c r="B70" s="2" t="s">
        <v>59</v>
      </c>
      <c r="C70" s="8">
        <v>5</v>
      </c>
      <c r="D70" s="11">
        <v>1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20"/>
      <c r="AJ70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70" s="29">
        <f ca="1">IF(Март[[#This Row],[УСЛУГ]]&lt;&gt;"",Март[[#This Row],[УСЛУГ]]*Март[[#This Row],[Периодичность]],"")</f>
        <v>0</v>
      </c>
    </row>
    <row r="71" spans="1:37" ht="18.75" x14ac:dyDescent="0.25">
      <c r="A71" s="16"/>
      <c r="B71" s="2"/>
      <c r="C71" s="8">
        <v>5</v>
      </c>
      <c r="D71" s="11">
        <v>2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20"/>
      <c r="AJ71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71" s="29" t="str">
        <f ca="1">IF(Март[[#This Row],[УСЛУГ]]&lt;&gt;"",Март[[#This Row],[УСЛУГ]]*Март[[#This Row],[Периодичность]],"")</f>
        <v/>
      </c>
    </row>
    <row r="72" spans="1:37" ht="18.75" x14ac:dyDescent="0.25">
      <c r="A72" s="16"/>
      <c r="B72" s="2"/>
      <c r="C72" s="8">
        <v>5</v>
      </c>
      <c r="D72" s="11">
        <v>3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20"/>
      <c r="AJ72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72" s="29" t="str">
        <f ca="1">IF(Март[[#This Row],[УСЛУГ]]&lt;&gt;"",Март[[#This Row],[УСЛУГ]]*Март[[#This Row],[Периодичность]],"")</f>
        <v/>
      </c>
    </row>
    <row r="73" spans="1:37" ht="47.25" x14ac:dyDescent="0.25">
      <c r="A73" s="16" t="s">
        <v>80</v>
      </c>
      <c r="B73" s="2" t="s">
        <v>59</v>
      </c>
      <c r="C73" s="8">
        <v>5</v>
      </c>
      <c r="D73" s="11">
        <v>1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20"/>
      <c r="AJ73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73" s="29">
        <f ca="1">IF(Март[[#This Row],[УСЛУГ]]&lt;&gt;"",Март[[#This Row],[УСЛУГ]]*Март[[#This Row],[Периодичность]],"")</f>
        <v>0</v>
      </c>
    </row>
    <row r="74" spans="1:37" ht="18.75" x14ac:dyDescent="0.25">
      <c r="A74" s="16"/>
      <c r="B74" s="2"/>
      <c r="C74" s="8">
        <v>5</v>
      </c>
      <c r="D74" s="11">
        <v>2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20"/>
      <c r="AJ74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74" s="29" t="str">
        <f ca="1">IF(Март[[#This Row],[УСЛУГ]]&lt;&gt;"",Март[[#This Row],[УСЛУГ]]*Март[[#This Row],[Периодичность]],"")</f>
        <v/>
      </c>
    </row>
    <row r="75" spans="1:37" ht="18.75" x14ac:dyDescent="0.25">
      <c r="A75" s="16"/>
      <c r="B75" s="2"/>
      <c r="C75" s="8">
        <v>5</v>
      </c>
      <c r="D75" s="11">
        <v>3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20"/>
      <c r="AJ75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75" s="29" t="str">
        <f ca="1">IF(Март[[#This Row],[УСЛУГ]]&lt;&gt;"",Март[[#This Row],[УСЛУГ]]*Март[[#This Row],[Периодичность]],"")</f>
        <v/>
      </c>
    </row>
    <row r="76" spans="1:37" ht="47.25" x14ac:dyDescent="0.25">
      <c r="A76" s="16" t="s">
        <v>79</v>
      </c>
      <c r="B76" s="2" t="s">
        <v>57</v>
      </c>
      <c r="C76" s="8">
        <v>45</v>
      </c>
      <c r="D76" s="11">
        <v>1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20"/>
      <c r="AJ76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76" s="29">
        <f ca="1">IF(Март[[#This Row],[УСЛУГ]]&lt;&gt;"",Март[[#This Row],[УСЛУГ]]*Март[[#This Row],[Периодичность]],"")</f>
        <v>0</v>
      </c>
    </row>
    <row r="77" spans="1:37" ht="18.75" x14ac:dyDescent="0.25">
      <c r="A77" s="16"/>
      <c r="B77" s="2"/>
      <c r="C77" s="8">
        <v>45</v>
      </c>
      <c r="D77" s="11">
        <v>2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20"/>
      <c r="AJ77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77" s="29" t="str">
        <f ca="1">IF(Март[[#This Row],[УСЛУГ]]&lt;&gt;"",Март[[#This Row],[УСЛУГ]]*Март[[#This Row],[Периодичность]],"")</f>
        <v/>
      </c>
    </row>
    <row r="78" spans="1:37" x14ac:dyDescent="0.25">
      <c r="A78" s="16"/>
      <c r="B78" s="2"/>
      <c r="C78" s="8">
        <v>45</v>
      </c>
      <c r="D78" s="11">
        <v>3</v>
      </c>
      <c r="E78" s="18"/>
      <c r="F78" s="18"/>
      <c r="G78" s="18"/>
      <c r="H78" s="18"/>
      <c r="I78" s="18"/>
      <c r="J78" s="18"/>
      <c r="K78" s="10"/>
      <c r="L78" s="10"/>
      <c r="M78" s="10"/>
      <c r="N78" s="10"/>
      <c r="O78" s="10"/>
      <c r="P78" s="18"/>
      <c r="Q78" s="18"/>
      <c r="R78" s="10"/>
      <c r="S78" s="10"/>
      <c r="T78" s="10"/>
      <c r="U78" s="10"/>
      <c r="V78" s="10"/>
      <c r="W78" s="18"/>
      <c r="X78" s="18"/>
      <c r="Y78" s="10"/>
      <c r="Z78" s="10"/>
      <c r="AA78" s="10"/>
      <c r="AB78" s="10"/>
      <c r="AC78" s="10"/>
      <c r="AD78" s="18"/>
      <c r="AE78" s="18"/>
      <c r="AF78" s="18"/>
      <c r="AG78" s="18"/>
      <c r="AH78" s="18"/>
      <c r="AI78" s="19"/>
      <c r="AJ78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78" s="29" t="str">
        <f ca="1">IF(Март[[#This Row],[УСЛУГ]]&lt;&gt;"",Март[[#This Row],[УСЛУГ]]*Март[[#This Row],[Периодичность]],"")</f>
        <v/>
      </c>
    </row>
    <row r="79" spans="1:37" ht="47.25" x14ac:dyDescent="0.25">
      <c r="A79" s="16" t="s">
        <v>78</v>
      </c>
      <c r="B79" s="2" t="s">
        <v>59</v>
      </c>
      <c r="C79" s="8">
        <v>10</v>
      </c>
      <c r="D79" s="11">
        <v>1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79" s="29">
        <f ca="1">IF(Март[[#This Row],[УСЛУГ]]&lt;&gt;"",Март[[#This Row],[УСЛУГ]]*Март[[#This Row],[Периодичность]],"")</f>
        <v>0</v>
      </c>
    </row>
    <row r="80" spans="1:37" ht="18.75" x14ac:dyDescent="0.25">
      <c r="A80" s="16"/>
      <c r="B80" s="2"/>
      <c r="C80" s="8">
        <v>10</v>
      </c>
      <c r="D80" s="11">
        <v>2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20"/>
      <c r="AJ80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80" s="29" t="str">
        <f ca="1">IF(Март[[#This Row],[УСЛУГ]]&lt;&gt;"",Март[[#This Row],[УСЛУГ]]*Март[[#This Row],[Периодичность]],"")</f>
        <v/>
      </c>
    </row>
    <row r="81" spans="1:37" x14ac:dyDescent="0.25">
      <c r="A81" s="16"/>
      <c r="B81" s="2"/>
      <c r="C81" s="8">
        <v>10</v>
      </c>
      <c r="D81" s="11">
        <v>3</v>
      </c>
      <c r="E81" s="18"/>
      <c r="F81" s="18"/>
      <c r="G81" s="18"/>
      <c r="H81" s="18"/>
      <c r="I81" s="18"/>
      <c r="J81" s="18"/>
      <c r="K81" s="10"/>
      <c r="L81" s="10"/>
      <c r="M81" s="10"/>
      <c r="N81" s="10"/>
      <c r="O81" s="10"/>
      <c r="P81" s="18"/>
      <c r="Q81" s="18"/>
      <c r="R81" s="10"/>
      <c r="S81" s="10"/>
      <c r="T81" s="10"/>
      <c r="U81" s="10"/>
      <c r="V81" s="10"/>
      <c r="W81" s="18"/>
      <c r="X81" s="18"/>
      <c r="Y81" s="10"/>
      <c r="Z81" s="10"/>
      <c r="AA81" s="10"/>
      <c r="AB81" s="10"/>
      <c r="AC81" s="10"/>
      <c r="AD81" s="18"/>
      <c r="AE81" s="18"/>
      <c r="AF81" s="18"/>
      <c r="AG81" s="18"/>
      <c r="AH81" s="18"/>
      <c r="AI81" s="19"/>
      <c r="AJ81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81" s="29" t="str">
        <f ca="1">IF(Март[[#This Row],[УСЛУГ]]&lt;&gt;"",Март[[#This Row],[УСЛУГ]]*Март[[#This Row],[Периодичность]],"")</f>
        <v/>
      </c>
    </row>
  </sheetData>
  <mergeCells count="20">
    <mergeCell ref="AJ7:AJ11"/>
    <mergeCell ref="AK7:AK11"/>
    <mergeCell ref="E10:AI11"/>
    <mergeCell ref="A19:A23"/>
    <mergeCell ref="B19:C23"/>
    <mergeCell ref="D19:D23"/>
    <mergeCell ref="E19:AI20"/>
    <mergeCell ref="AJ19:AJ23"/>
    <mergeCell ref="AK19:AK23"/>
    <mergeCell ref="E22:AI23"/>
    <mergeCell ref="A7:A11"/>
    <mergeCell ref="B7:B11"/>
    <mergeCell ref="C7:C11"/>
    <mergeCell ref="D7:D11"/>
    <mergeCell ref="E7:AI8"/>
    <mergeCell ref="A2:AJ2"/>
    <mergeCell ref="A3:AJ3"/>
    <mergeCell ref="J4:L4"/>
    <mergeCell ref="M4:U4"/>
    <mergeCell ref="M5:Q5"/>
  </mergeCells>
  <conditionalFormatting sqref="E9:AI9">
    <cfRule type="expression" dxfId="981" priority="2">
      <formula>WEEKDAY(E9:AI9,2)&gt;5</formula>
    </cfRule>
  </conditionalFormatting>
  <conditionalFormatting sqref="E21:AI21">
    <cfRule type="expression" dxfId="980" priority="1">
      <formula>WEEKDAY(E21:AI21,2)&gt;5</formula>
    </cfRule>
  </conditionalFormatting>
  <dataValidations count="2">
    <dataValidation type="list" allowBlank="1" showInputMessage="1" showErrorMessage="1" sqref="A25:A81">
      <formula1>INDIRECT("Услуги[Кратко]")</formula1>
    </dataValidation>
    <dataValidation type="list" allowBlank="1" showInputMessage="1" showErrorMessage="1" sqref="D25:D81">
      <formula1>INDIRECT("Посещения")</formula1>
    </dataValidation>
  </dataValidations>
  <pageMargins left="0.25" right="0.25" top="0.75" bottom="0.75" header="0.3" footer="0.3"/>
  <pageSetup paperSize="9" scale="52" fitToHeight="0" orientation="landscape" horizontalDpi="300" verticalDpi="300" r:id="rId1"/>
  <ignoredErrors>
    <ignoredError sqref="E13:E17 AI13:AK17 B13:B17" calculatedColumn="1"/>
  </ignoredErrors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105"/>
  <sheetViews>
    <sheetView zoomScale="80" zoomScaleNormal="80" workbookViewId="0">
      <selection activeCell="B13" sqref="B13"/>
    </sheetView>
  </sheetViews>
  <sheetFormatPr defaultRowHeight="15.75" x14ac:dyDescent="0.25"/>
  <cols>
    <col min="1" max="1" width="21.42578125" style="3" customWidth="1"/>
    <col min="2" max="2" width="14.140625" style="3" customWidth="1"/>
    <col min="3" max="3" width="17.5703125" style="3" customWidth="1"/>
    <col min="4" max="4" width="9.28515625" style="3" customWidth="1"/>
    <col min="5" max="5" width="11.28515625" style="3" bestFit="1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7" ht="18.75" x14ac:dyDescent="0.25">
      <c r="A2" s="60" t="s">
        <v>72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</row>
    <row r="3" spans="1:37" ht="18.75" x14ac:dyDescent="0.25">
      <c r="A3" s="60" t="s">
        <v>73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</row>
    <row r="4" spans="1:37" ht="18.75" x14ac:dyDescent="0.25">
      <c r="I4" s="13"/>
      <c r="J4" s="61" t="s">
        <v>74</v>
      </c>
      <c r="K4" s="61"/>
      <c r="L4" s="61"/>
      <c r="M4" s="62"/>
      <c r="N4" s="54"/>
      <c r="O4" s="54"/>
      <c r="P4" s="54"/>
      <c r="Q4" s="54"/>
      <c r="R4" s="54"/>
      <c r="S4" s="54"/>
      <c r="T4" s="54"/>
      <c r="U4" s="54"/>
    </row>
    <row r="5" spans="1:37" ht="18.75" x14ac:dyDescent="0.25">
      <c r="C5" s="17"/>
      <c r="L5" s="12" t="s">
        <v>75</v>
      </c>
      <c r="M5" s="63" t="s">
        <v>130</v>
      </c>
      <c r="N5" s="64"/>
      <c r="O5" s="64"/>
      <c r="P5" s="64"/>
      <c r="Q5" s="64"/>
      <c r="R5" s="37">
        <f>Год[Год]</f>
        <v>2023</v>
      </c>
      <c r="S5" s="38" t="s">
        <v>138</v>
      </c>
      <c r="T5" s="14"/>
      <c r="U5" s="14"/>
    </row>
    <row r="6" spans="1:37" ht="18.75" x14ac:dyDescent="0.25">
      <c r="C6" s="17"/>
      <c r="L6" s="12"/>
      <c r="M6" s="22"/>
      <c r="N6" s="33"/>
      <c r="O6" s="33"/>
      <c r="P6" s="33"/>
      <c r="Q6" s="33"/>
      <c r="R6" s="22"/>
      <c r="S6" s="33"/>
      <c r="T6" s="14"/>
      <c r="U6" s="14"/>
    </row>
    <row r="7" spans="1:37" ht="26.25" customHeight="1" x14ac:dyDescent="0.25">
      <c r="A7" s="49"/>
      <c r="B7" s="57" t="s">
        <v>121</v>
      </c>
      <c r="C7" s="57" t="s">
        <v>120</v>
      </c>
      <c r="D7" s="58" t="s">
        <v>67</v>
      </c>
      <c r="E7" s="43" t="s">
        <v>55</v>
      </c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45"/>
      <c r="AI7" s="39" t="s">
        <v>70</v>
      </c>
      <c r="AJ7" s="39" t="s">
        <v>70</v>
      </c>
      <c r="AK7" s="4"/>
    </row>
    <row r="8" spans="1:37" ht="15.75" customHeight="1" x14ac:dyDescent="0.25">
      <c r="A8" s="49"/>
      <c r="B8" s="52"/>
      <c r="C8" s="52"/>
      <c r="D8" s="59"/>
      <c r="E8" s="53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5"/>
      <c r="AI8" s="39"/>
      <c r="AJ8" s="39"/>
      <c r="AK8" s="4"/>
    </row>
    <row r="9" spans="1:37" x14ac:dyDescent="0.25">
      <c r="A9" s="49"/>
      <c r="B9" s="52"/>
      <c r="C9" s="52"/>
      <c r="D9" s="59"/>
      <c r="E9" s="23">
        <f>Настройки!E10</f>
        <v>45017</v>
      </c>
      <c r="F9" s="23">
        <f>Настройки!F10</f>
        <v>45018</v>
      </c>
      <c r="G9" s="23">
        <f>Настройки!G10</f>
        <v>45019</v>
      </c>
      <c r="H9" s="23">
        <f>Настройки!H10</f>
        <v>45020</v>
      </c>
      <c r="I9" s="23">
        <f>Настройки!I10</f>
        <v>45021</v>
      </c>
      <c r="J9" s="23">
        <f>Настройки!J10</f>
        <v>45022</v>
      </c>
      <c r="K9" s="23">
        <f>Настройки!K10</f>
        <v>45023</v>
      </c>
      <c r="L9" s="23">
        <f>Настройки!L10</f>
        <v>45024</v>
      </c>
      <c r="M9" s="23">
        <f>Настройки!M10</f>
        <v>45025</v>
      </c>
      <c r="N9" s="23">
        <f>Настройки!N10</f>
        <v>45026</v>
      </c>
      <c r="O9" s="23">
        <f>Настройки!O10</f>
        <v>45027</v>
      </c>
      <c r="P9" s="23">
        <f>Настройки!P10</f>
        <v>45028</v>
      </c>
      <c r="Q9" s="23">
        <f>Настройки!Q10</f>
        <v>45029</v>
      </c>
      <c r="R9" s="23">
        <f>Настройки!R10</f>
        <v>45030</v>
      </c>
      <c r="S9" s="23">
        <f>Настройки!S10</f>
        <v>45031</v>
      </c>
      <c r="T9" s="23">
        <f>Настройки!T10</f>
        <v>45032</v>
      </c>
      <c r="U9" s="23">
        <f>Настройки!U10</f>
        <v>45033</v>
      </c>
      <c r="V9" s="23">
        <f>Настройки!V10</f>
        <v>45034</v>
      </c>
      <c r="W9" s="23">
        <f>Настройки!W10</f>
        <v>45035</v>
      </c>
      <c r="X9" s="23">
        <f>Настройки!X10</f>
        <v>45036</v>
      </c>
      <c r="Y9" s="23">
        <f>Настройки!Y10</f>
        <v>45037</v>
      </c>
      <c r="Z9" s="23">
        <f>Настройки!Z10</f>
        <v>45038</v>
      </c>
      <c r="AA9" s="23">
        <f>Настройки!AA10</f>
        <v>45039</v>
      </c>
      <c r="AB9" s="23">
        <f>Настройки!AB10</f>
        <v>45040</v>
      </c>
      <c r="AC9" s="23">
        <f>Настройки!AC10</f>
        <v>45041</v>
      </c>
      <c r="AD9" s="23">
        <f>Настройки!AD10</f>
        <v>45042</v>
      </c>
      <c r="AE9" s="23">
        <f>Настройки!AE10</f>
        <v>45043</v>
      </c>
      <c r="AF9" s="23">
        <f>Настройки!AF10</f>
        <v>45044</v>
      </c>
      <c r="AG9" s="23">
        <f>Настройки!AG10</f>
        <v>45045</v>
      </c>
      <c r="AH9" s="23">
        <f>Настройки!AH10</f>
        <v>45046</v>
      </c>
      <c r="AI9" s="39"/>
      <c r="AJ9" s="39"/>
      <c r="AK9" s="4"/>
    </row>
    <row r="10" spans="1:37" ht="15.75" customHeight="1" x14ac:dyDescent="0.25">
      <c r="A10" s="49"/>
      <c r="B10" s="52"/>
      <c r="C10" s="52"/>
      <c r="D10" s="59"/>
      <c r="E10" s="43" t="s">
        <v>54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69"/>
      <c r="AI10" s="39"/>
      <c r="AJ10" s="39"/>
      <c r="AK10" s="4"/>
    </row>
    <row r="11" spans="1:37" x14ac:dyDescent="0.25">
      <c r="A11" s="57"/>
      <c r="B11" s="52"/>
      <c r="C11" s="52"/>
      <c r="D11" s="59"/>
      <c r="E11" s="46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8"/>
      <c r="AI11" s="39"/>
      <c r="AJ11" s="39"/>
    </row>
    <row r="12" spans="1:37" ht="22.5" customHeight="1" x14ac:dyDescent="0.25">
      <c r="A12" s="3" t="s">
        <v>88</v>
      </c>
      <c r="B12" s="3" t="s">
        <v>87</v>
      </c>
      <c r="C12" s="3" t="s">
        <v>119</v>
      </c>
      <c r="D12" s="9" t="s">
        <v>66</v>
      </c>
      <c r="E12" s="15" t="s">
        <v>89</v>
      </c>
      <c r="F12" s="15" t="s">
        <v>90</v>
      </c>
      <c r="G12" s="15" t="s">
        <v>91</v>
      </c>
      <c r="H12" s="15" t="s">
        <v>92</v>
      </c>
      <c r="I12" s="15" t="s">
        <v>93</v>
      </c>
      <c r="J12" s="15" t="s">
        <v>94</v>
      </c>
      <c r="K12" s="15" t="s">
        <v>95</v>
      </c>
      <c r="L12" s="15" t="s">
        <v>96</v>
      </c>
      <c r="M12" s="15" t="s">
        <v>97</v>
      </c>
      <c r="N12" s="15" t="s">
        <v>98</v>
      </c>
      <c r="O12" s="15" t="s">
        <v>99</v>
      </c>
      <c r="P12" s="15" t="s">
        <v>100</v>
      </c>
      <c r="Q12" s="15" t="s">
        <v>101</v>
      </c>
      <c r="R12" s="15" t="s">
        <v>102</v>
      </c>
      <c r="S12" s="15" t="s">
        <v>103</v>
      </c>
      <c r="T12" s="15" t="s">
        <v>104</v>
      </c>
      <c r="U12" s="15" t="s">
        <v>105</v>
      </c>
      <c r="V12" s="15" t="s">
        <v>106</v>
      </c>
      <c r="W12" s="15" t="s">
        <v>107</v>
      </c>
      <c r="X12" s="15" t="s">
        <v>108</v>
      </c>
      <c r="Y12" s="15" t="s">
        <v>109</v>
      </c>
      <c r="Z12" s="15" t="s">
        <v>110</v>
      </c>
      <c r="AA12" s="15" t="s">
        <v>111</v>
      </c>
      <c r="AB12" s="15" t="s">
        <v>112</v>
      </c>
      <c r="AC12" s="15" t="s">
        <v>113</v>
      </c>
      <c r="AD12" s="15" t="s">
        <v>114</v>
      </c>
      <c r="AE12" s="15" t="s">
        <v>115</v>
      </c>
      <c r="AF12" s="15" t="s">
        <v>116</v>
      </c>
      <c r="AG12" s="15" t="s">
        <v>117</v>
      </c>
      <c r="AH12" s="15" t="s">
        <v>118</v>
      </c>
      <c r="AI12" s="3" t="s">
        <v>68</v>
      </c>
      <c r="AJ12" s="3" t="s">
        <v>69</v>
      </c>
    </row>
    <row r="13" spans="1:37" ht="22.5" customHeight="1" x14ac:dyDescent="0.25">
      <c r="A13" s="5" t="s">
        <v>62</v>
      </c>
      <c r="B13" s="3">
        <f>SUMPRODUCT((Настройки!$E$24:$AH$24=1)*E16:AH16)</f>
        <v>0</v>
      </c>
      <c r="C13" s="15"/>
      <c r="D13" s="5">
        <v>1</v>
      </c>
      <c r="E13" s="3">
        <f>SUMPRODUCT((Апрель[№]=1)*Апрель[1],Апрель[Периодичность])</f>
        <v>0</v>
      </c>
      <c r="F13" s="30">
        <f>SUMPRODUCT((Апрель[№]=1)*Апрель[2],Апрель[Периодичность])</f>
        <v>0</v>
      </c>
      <c r="G13" s="30">
        <f>SUMPRODUCT((Апрель[№]=1)*Апрель[3],Апрель[Периодичность])</f>
        <v>0</v>
      </c>
      <c r="H13" s="30">
        <f>SUMPRODUCT((Апрель[№]=1)*Апрель[4],Апрель[Периодичность])</f>
        <v>0</v>
      </c>
      <c r="I13" s="30">
        <f>SUMPRODUCT((Апрель[№]=1)*Апрель[5],Апрель[Периодичность])</f>
        <v>0</v>
      </c>
      <c r="J13" s="30">
        <f>SUMPRODUCT((Апрель[№]=1)*Апрель[6],Апрель[Периодичность])</f>
        <v>0</v>
      </c>
      <c r="K13" s="30">
        <f>SUMPRODUCT((Апрель[№]=1)*Апрель[7],Апрель[Периодичность])</f>
        <v>0</v>
      </c>
      <c r="L13" s="30">
        <f>SUMPRODUCT((Апрель[№]=1)*Апрель[8],Апрель[Периодичность])</f>
        <v>0</v>
      </c>
      <c r="M13" s="30">
        <f>SUMPRODUCT((Апрель[№]=1)*Апрель[9],Апрель[Периодичность])</f>
        <v>0</v>
      </c>
      <c r="N13" s="30">
        <f>SUMPRODUCT((Апрель[№]=1)*Апрель[10],Апрель[Периодичность])</f>
        <v>0</v>
      </c>
      <c r="O13" s="30">
        <f>SUMPRODUCT((Апрель[№]=1)*Апрель[11],Апрель[Периодичность])</f>
        <v>0</v>
      </c>
      <c r="P13" s="30">
        <f>SUMPRODUCT((Апрель[№]=1)*Апрель[12],Апрель[Периодичность])</f>
        <v>0</v>
      </c>
      <c r="Q13" s="30">
        <f>SUMPRODUCT((Апрель[№]=1)*Апрель[13],Апрель[Периодичность])</f>
        <v>0</v>
      </c>
      <c r="R13" s="30">
        <f>SUMPRODUCT((Апрель[№]=1)*Апрель[14],Апрель[Периодичность])</f>
        <v>0</v>
      </c>
      <c r="S13" s="30">
        <f>SUMPRODUCT((Апрель[№]=1)*Апрель[15],Апрель[Периодичность])</f>
        <v>0</v>
      </c>
      <c r="T13" s="30">
        <f>SUMPRODUCT((Апрель[№]=1)*Апрель[16],Апрель[Периодичность])</f>
        <v>0</v>
      </c>
      <c r="U13" s="30">
        <f>SUMPRODUCT((Апрель[№]=1)*Апрель[17],Апрель[Периодичность])</f>
        <v>0</v>
      </c>
      <c r="V13" s="30">
        <f>SUMPRODUCT((Апрель[№]=1)*Апрель[18],Апрель[Периодичность])</f>
        <v>0</v>
      </c>
      <c r="W13" s="30">
        <f>SUMPRODUCT((Апрель[№]=1)*Апрель[19],Апрель[Периодичность])</f>
        <v>0</v>
      </c>
      <c r="X13" s="30">
        <f>SUMPRODUCT((Апрель[№]=1)*Апрель[20],Апрель[Периодичность])</f>
        <v>0</v>
      </c>
      <c r="Y13" s="30">
        <f>SUMPRODUCT((Апрель[№]=1)*Апрель[21],Апрель[Периодичность])</f>
        <v>0</v>
      </c>
      <c r="Z13" s="30">
        <f>SUMPRODUCT((Апрель[№]=1)*Апрель[22],Апрель[Периодичность])</f>
        <v>0</v>
      </c>
      <c r="AA13" s="30">
        <f>SUMPRODUCT((Апрель[№]=1)*Апрель[23],Апрель[Периодичность])</f>
        <v>0</v>
      </c>
      <c r="AB13" s="30">
        <f>SUMPRODUCT((Апрель[№]=1)*Апрель[24],Апрель[Периодичность])</f>
        <v>0</v>
      </c>
      <c r="AC13" s="30">
        <f>SUMPRODUCT((Апрель[№]=1)*Апрель[25],Апрель[Периодичность])</f>
        <v>0</v>
      </c>
      <c r="AD13" s="30">
        <f>SUMPRODUCT((Апрель[№]=1)*Апрель[26],Апрель[Периодичность])</f>
        <v>0</v>
      </c>
      <c r="AE13" s="30">
        <f>SUMPRODUCT((Апрель[№]=1)*Апрель[27],Апрель[Периодичность])</f>
        <v>0</v>
      </c>
      <c r="AF13" s="30">
        <f>SUMPRODUCT((Апрель[№]=1)*Апрель[28],Апрель[Периодичность])</f>
        <v>0</v>
      </c>
      <c r="AG13" s="30">
        <f>SUMPRODUCT((Апрель[№]=1)*Апрель[29],Апрель[Периодичность])</f>
        <v>0</v>
      </c>
      <c r="AH13" s="30">
        <f>SUMPRODUCT((Апрель[№]=1)*Апрель[30],Апрель[Периодичность])</f>
        <v>0</v>
      </c>
    </row>
    <row r="14" spans="1:37" ht="20.25" customHeight="1" x14ac:dyDescent="0.25">
      <c r="B14" s="3">
        <f>SUMPRODUCT((Настройки!$E$24:$AH$24=2)*E16:AH16)</f>
        <v>0</v>
      </c>
      <c r="D14" s="5">
        <v>2</v>
      </c>
      <c r="E14" s="3">
        <f>SUMPRODUCT((Апрель[№]=2)*Апрель[1],Апрель[Периодичность])</f>
        <v>0</v>
      </c>
      <c r="F14" s="30">
        <f>SUMPRODUCT((Апрель[№]=2)*Апрель[2],Апрель[Периодичность])</f>
        <v>0</v>
      </c>
      <c r="G14" s="30">
        <f>SUMPRODUCT((Апрель[№]=2)*Апрель[3],Апрель[Периодичность])</f>
        <v>0</v>
      </c>
      <c r="H14" s="30">
        <f>SUMPRODUCT((Апрель[№]=2)*Апрель[4],Апрель[Периодичность])</f>
        <v>0</v>
      </c>
      <c r="I14" s="30">
        <f>SUMPRODUCT((Апрель[№]=2)*Апрель[5],Апрель[Периодичность])</f>
        <v>0</v>
      </c>
      <c r="J14" s="30">
        <f>SUMPRODUCT((Апрель[№]=2)*Апрель[6],Апрель[Периодичность])</f>
        <v>0</v>
      </c>
      <c r="K14" s="30">
        <f>SUMPRODUCT((Апрель[№]=2)*Апрель[7],Апрель[Периодичность])</f>
        <v>0</v>
      </c>
      <c r="L14" s="30">
        <f>SUMPRODUCT((Апрель[№]=2)*Апрель[8],Апрель[Периодичность])</f>
        <v>0</v>
      </c>
      <c r="M14" s="30">
        <f>SUMPRODUCT((Апрель[№]=2)*Апрель[9],Апрель[Периодичность])</f>
        <v>0</v>
      </c>
      <c r="N14" s="30">
        <f>SUMPRODUCT((Апрель[№]=2)*Апрель[10],Апрель[Периодичность])</f>
        <v>0</v>
      </c>
      <c r="O14" s="30">
        <f>SUMPRODUCT((Апрель[№]=2)*Апрель[11],Апрель[Периодичность])</f>
        <v>0</v>
      </c>
      <c r="P14" s="30">
        <f>SUMPRODUCT((Апрель[№]=2)*Апрель[12],Апрель[Периодичность])</f>
        <v>0</v>
      </c>
      <c r="Q14" s="30">
        <f>SUMPRODUCT((Апрель[№]=2)*Апрель[13],Апрель[Периодичность])</f>
        <v>0</v>
      </c>
      <c r="R14" s="30">
        <f>SUMPRODUCT((Апрель[№]=2)*Апрель[14],Апрель[Периодичность])</f>
        <v>0</v>
      </c>
      <c r="S14" s="30">
        <f>SUMPRODUCT((Апрель[№]=2)*Апрель[15],Апрель[Периодичность])</f>
        <v>0</v>
      </c>
      <c r="T14" s="30">
        <f>SUMPRODUCT((Апрель[№]=2)*Апрель[16],Апрель[Периодичность])</f>
        <v>0</v>
      </c>
      <c r="U14" s="30">
        <f>SUMPRODUCT((Апрель[№]=2)*Апрель[17],Апрель[Периодичность])</f>
        <v>0</v>
      </c>
      <c r="V14" s="30">
        <f>SUMPRODUCT((Апрель[№]=2)*Апрель[18],Апрель[Периодичность])</f>
        <v>0</v>
      </c>
      <c r="W14" s="30">
        <f>SUMPRODUCT((Апрель[№]=2)*Апрель[19],Апрель[Периодичность])</f>
        <v>0</v>
      </c>
      <c r="X14" s="30">
        <f>SUMPRODUCT((Апрель[№]=2)*Апрель[20],Апрель[Периодичность])</f>
        <v>0</v>
      </c>
      <c r="Y14" s="30">
        <f>SUMPRODUCT((Апрель[№]=2)*Апрель[21],Апрель[Периодичность])</f>
        <v>0</v>
      </c>
      <c r="Z14" s="30">
        <f>SUMPRODUCT((Апрель[№]=2)*Апрель[22],Апрель[Периодичность])</f>
        <v>0</v>
      </c>
      <c r="AA14" s="30">
        <f>SUMPRODUCT((Апрель[№]=2)*Апрель[23],Апрель[Периодичность])</f>
        <v>0</v>
      </c>
      <c r="AB14" s="30">
        <f>SUMPRODUCT((Апрель[№]=2)*Апрель[24],Апрель[Периодичность])</f>
        <v>0</v>
      </c>
      <c r="AC14" s="30">
        <f>SUMPRODUCT((Апрель[№]=2)*Апрель[25],Апрель[Периодичность])</f>
        <v>0</v>
      </c>
      <c r="AD14" s="30">
        <f>SUMPRODUCT((Апрель[№]=2)*Апрель[26],Апрель[Периодичность])</f>
        <v>0</v>
      </c>
      <c r="AE14" s="30">
        <f>SUMPRODUCT((Апрель[№]=2)*Апрель[27],Апрель[Периодичность])</f>
        <v>0</v>
      </c>
      <c r="AF14" s="30">
        <f>SUMPRODUCT((Апрель[№]=2)*Апрель[28],Апрель[Периодичность])</f>
        <v>0</v>
      </c>
      <c r="AG14" s="30">
        <f>SUMPRODUCT((Апрель[№]=2)*Апрель[29],Апрель[Периодичность])</f>
        <v>0</v>
      </c>
      <c r="AH14" s="30">
        <f>SUMPRODUCT((Апрель[№]=2)*Апрель[30],Апрель[Периодичность])</f>
        <v>0</v>
      </c>
    </row>
    <row r="15" spans="1:37" ht="22.5" customHeight="1" x14ac:dyDescent="0.25">
      <c r="B15" s="3">
        <f>SUMPRODUCT((Настройки!$E$24:$AH$24=3)*E16:AH16)</f>
        <v>0</v>
      </c>
      <c r="D15" s="5">
        <v>3</v>
      </c>
      <c r="E15" s="3">
        <f>SUMPRODUCT((Апрель[№]=3)*Апрель[1],Апрель[Периодичность])</f>
        <v>0</v>
      </c>
      <c r="F15" s="30">
        <f>SUMPRODUCT((Апрель[№]=3)*Апрель[2],Апрель[Периодичность])</f>
        <v>0</v>
      </c>
      <c r="G15" s="30">
        <f>SUMPRODUCT((Апрель[№]=3)*Апрель[3],Апрель[Периодичность])</f>
        <v>0</v>
      </c>
      <c r="H15" s="30">
        <f>SUMPRODUCT((Апрель[№]=3)*Апрель[4],Апрель[Периодичность])</f>
        <v>0</v>
      </c>
      <c r="I15" s="30">
        <f>SUMPRODUCT((Апрель[№]=3)*Апрель[5],Апрель[Периодичность])</f>
        <v>0</v>
      </c>
      <c r="J15" s="30">
        <f>SUMPRODUCT((Апрель[№]=3)*Апрель[6],Апрель[Периодичность])</f>
        <v>0</v>
      </c>
      <c r="K15" s="30">
        <f>SUMPRODUCT((Апрель[№]=3)*Апрель[7],Апрель[Периодичность])</f>
        <v>0</v>
      </c>
      <c r="L15" s="30">
        <f>SUMPRODUCT((Апрель[№]=3)*Апрель[8],Апрель[Периодичность])</f>
        <v>0</v>
      </c>
      <c r="M15" s="30">
        <f>SUMPRODUCT((Апрель[№]=3)*Апрель[9],Апрель[Периодичность])</f>
        <v>0</v>
      </c>
      <c r="N15" s="30">
        <f>SUMPRODUCT((Апрель[№]=3)*Апрель[10],Апрель[Периодичность])</f>
        <v>0</v>
      </c>
      <c r="O15" s="30">
        <f>SUMPRODUCT((Апрель[№]=3)*Апрель[11],Апрель[Периодичность])</f>
        <v>0</v>
      </c>
      <c r="P15" s="30">
        <f>SUMPRODUCT((Апрель[№]=3)*Апрель[12],Апрель[Периодичность])</f>
        <v>0</v>
      </c>
      <c r="Q15" s="30">
        <f>SUMPRODUCT((Апрель[№]=3)*Апрель[13],Апрель[Периодичность])</f>
        <v>0</v>
      </c>
      <c r="R15" s="30">
        <f>SUMPRODUCT((Апрель[№]=3)*Апрель[14],Апрель[Периодичность])</f>
        <v>0</v>
      </c>
      <c r="S15" s="30">
        <f>SUMPRODUCT((Апрель[№]=3)*Апрель[15],Апрель[Периодичность])</f>
        <v>0</v>
      </c>
      <c r="T15" s="30">
        <f>SUMPRODUCT((Апрель[№]=3)*Апрель[16],Апрель[Периодичность])</f>
        <v>0</v>
      </c>
      <c r="U15" s="30">
        <f>SUMPRODUCT((Апрель[№]=3)*Апрель[17],Апрель[Периодичность])</f>
        <v>0</v>
      </c>
      <c r="V15" s="30">
        <f>SUMPRODUCT((Апрель[№]=3)*Апрель[18],Апрель[Периодичность])</f>
        <v>0</v>
      </c>
      <c r="W15" s="30">
        <f>SUMPRODUCT((Апрель[№]=3)*Апрель[19],Апрель[Периодичность])</f>
        <v>0</v>
      </c>
      <c r="X15" s="30">
        <f>SUMPRODUCT((Апрель[№]=3)*Апрель[20],Апрель[Периодичность])</f>
        <v>0</v>
      </c>
      <c r="Y15" s="30">
        <f>SUMPRODUCT((Апрель[№]=3)*Апрель[21],Апрель[Периодичность])</f>
        <v>0</v>
      </c>
      <c r="Z15" s="30">
        <f>SUMPRODUCT((Апрель[№]=3)*Апрель[22],Апрель[Периодичность])</f>
        <v>0</v>
      </c>
      <c r="AA15" s="30">
        <f>SUMPRODUCT((Апрель[№]=3)*Апрель[23],Апрель[Периодичность])</f>
        <v>0</v>
      </c>
      <c r="AB15" s="30">
        <f>SUMPRODUCT((Апрель[№]=3)*Апрель[24],Апрель[Периодичность])</f>
        <v>0</v>
      </c>
      <c r="AC15" s="30">
        <f>SUMPRODUCT((Апрель[№]=3)*Апрель[25],Апрель[Периодичность])</f>
        <v>0</v>
      </c>
      <c r="AD15" s="30">
        <f>SUMPRODUCT((Апрель[№]=3)*Апрель[26],Апрель[Периодичность])</f>
        <v>0</v>
      </c>
      <c r="AE15" s="30">
        <f>SUMPRODUCT((Апрель[№]=3)*Апрель[27],Апрель[Периодичность])</f>
        <v>0</v>
      </c>
      <c r="AF15" s="30">
        <f>SUMPRODUCT((Апрель[№]=3)*Апрель[28],Апрель[Периодичность])</f>
        <v>0</v>
      </c>
      <c r="AG15" s="30">
        <f>SUMPRODUCT((Апрель[№]=3)*Апрель[29],Апрель[Периодичность])</f>
        <v>0</v>
      </c>
      <c r="AH15" s="30">
        <f>SUMPRODUCT((Апрель[№]=3)*Апрель[30],Апрель[Периодичность])</f>
        <v>0</v>
      </c>
      <c r="AJ15" s="11"/>
    </row>
    <row r="16" spans="1:37" ht="18" customHeight="1" x14ac:dyDescent="0.25">
      <c r="B16" s="3">
        <f>SUMPRODUCT((Настройки!$E$24:$AH$24=4)*E16:AH16)</f>
        <v>0</v>
      </c>
      <c r="D16" s="5"/>
      <c r="E16" s="3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J16" s="11"/>
    </row>
    <row r="17" spans="1:36" ht="21.75" customHeight="1" x14ac:dyDescent="0.25">
      <c r="B17" s="3">
        <f>SUMPRODUCT((Настройки!$E$24:$AH$24=5)*E16:AH16)</f>
        <v>0</v>
      </c>
      <c r="C17" s="5">
        <f>АпрельИтоги[[#This Row],[№]]*60</f>
        <v>0</v>
      </c>
      <c r="D17" s="7">
        <f>SUM(АпрельИтоги[[#This Row],[1]:[30]])</f>
        <v>0</v>
      </c>
      <c r="E17" s="6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5">
        <f ca="1">SUM(Апрель[УСЛУГ])</f>
        <v>0</v>
      </c>
      <c r="AJ17" s="21">
        <f ca="1">SUM(Апрель[МИНУТ])</f>
        <v>0</v>
      </c>
    </row>
    <row r="19" spans="1:36" x14ac:dyDescent="0.25">
      <c r="A19" s="49" t="s">
        <v>52</v>
      </c>
      <c r="B19" s="49" t="s">
        <v>53</v>
      </c>
      <c r="C19" s="50"/>
      <c r="D19" s="51" t="s">
        <v>67</v>
      </c>
      <c r="E19" s="43" t="s">
        <v>55</v>
      </c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45"/>
      <c r="AI19" s="39" t="s">
        <v>70</v>
      </c>
      <c r="AJ19" s="39" t="s">
        <v>70</v>
      </c>
    </row>
    <row r="20" spans="1:36" ht="15.75" customHeight="1" x14ac:dyDescent="0.25">
      <c r="A20" s="49"/>
      <c r="B20" s="49"/>
      <c r="C20" s="50"/>
      <c r="D20" s="52"/>
      <c r="E20" s="53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5"/>
      <c r="AI20" s="39"/>
      <c r="AJ20" s="39"/>
    </row>
    <row r="21" spans="1:36" x14ac:dyDescent="0.25">
      <c r="A21" s="49"/>
      <c r="B21" s="49"/>
      <c r="C21" s="50"/>
      <c r="D21" s="52"/>
      <c r="E21" s="27">
        <f>Настройки!E10</f>
        <v>45017</v>
      </c>
      <c r="F21" s="27">
        <f>Настройки!F10</f>
        <v>45018</v>
      </c>
      <c r="G21" s="27">
        <f>Настройки!G10</f>
        <v>45019</v>
      </c>
      <c r="H21" s="27">
        <f>Настройки!H10</f>
        <v>45020</v>
      </c>
      <c r="I21" s="27">
        <f>Настройки!I10</f>
        <v>45021</v>
      </c>
      <c r="J21" s="27">
        <f>Настройки!J10</f>
        <v>45022</v>
      </c>
      <c r="K21" s="27">
        <f>Настройки!K10</f>
        <v>45023</v>
      </c>
      <c r="L21" s="27">
        <f>Настройки!L10</f>
        <v>45024</v>
      </c>
      <c r="M21" s="27">
        <f>Настройки!M10</f>
        <v>45025</v>
      </c>
      <c r="N21" s="27">
        <f>Настройки!N10</f>
        <v>45026</v>
      </c>
      <c r="O21" s="27">
        <f>Настройки!O10</f>
        <v>45027</v>
      </c>
      <c r="P21" s="27">
        <f>Настройки!P10</f>
        <v>45028</v>
      </c>
      <c r="Q21" s="27">
        <f>Настройки!Q10</f>
        <v>45029</v>
      </c>
      <c r="R21" s="27">
        <f>Настройки!R10</f>
        <v>45030</v>
      </c>
      <c r="S21" s="27">
        <f>Настройки!S10</f>
        <v>45031</v>
      </c>
      <c r="T21" s="27">
        <f>Настройки!T10</f>
        <v>45032</v>
      </c>
      <c r="U21" s="27">
        <f>Настройки!U10</f>
        <v>45033</v>
      </c>
      <c r="V21" s="27">
        <f>Настройки!V10</f>
        <v>45034</v>
      </c>
      <c r="W21" s="27">
        <f>Настройки!W10</f>
        <v>45035</v>
      </c>
      <c r="X21" s="27">
        <f>Настройки!X10</f>
        <v>45036</v>
      </c>
      <c r="Y21" s="27">
        <f>Настройки!Y10</f>
        <v>45037</v>
      </c>
      <c r="Z21" s="27">
        <f>Настройки!Z10</f>
        <v>45038</v>
      </c>
      <c r="AA21" s="27">
        <f>Настройки!AA10</f>
        <v>45039</v>
      </c>
      <c r="AB21" s="27">
        <f>Настройки!AB10</f>
        <v>45040</v>
      </c>
      <c r="AC21" s="27">
        <f>Настройки!AC10</f>
        <v>45041</v>
      </c>
      <c r="AD21" s="27">
        <f>Настройки!AD10</f>
        <v>45042</v>
      </c>
      <c r="AE21" s="27">
        <f>Настройки!AE10</f>
        <v>45043</v>
      </c>
      <c r="AF21" s="27">
        <f>Настройки!AF10</f>
        <v>45044</v>
      </c>
      <c r="AG21" s="27">
        <f>Настройки!AG10</f>
        <v>45045</v>
      </c>
      <c r="AH21" s="27">
        <f>Настройки!AH10</f>
        <v>45046</v>
      </c>
      <c r="AI21" s="39"/>
      <c r="AJ21" s="39"/>
    </row>
    <row r="22" spans="1:36" x14ac:dyDescent="0.25">
      <c r="A22" s="49"/>
      <c r="B22" s="49"/>
      <c r="C22" s="50"/>
      <c r="D22" s="52"/>
      <c r="E22" s="44" t="s">
        <v>54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69"/>
      <c r="AI22" s="39"/>
      <c r="AJ22" s="39"/>
    </row>
    <row r="23" spans="1:36" x14ac:dyDescent="0.25">
      <c r="A23" s="49"/>
      <c r="B23" s="49"/>
      <c r="C23" s="50"/>
      <c r="D23" s="5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71"/>
      <c r="AI23" s="39"/>
      <c r="AJ23" s="39"/>
    </row>
    <row r="24" spans="1:36" ht="23.25" customHeight="1" x14ac:dyDescent="0.25">
      <c r="A24" s="3" t="s">
        <v>65</v>
      </c>
      <c r="B24" s="2" t="s">
        <v>63</v>
      </c>
      <c r="C24" s="3" t="s">
        <v>64</v>
      </c>
      <c r="D24" s="9" t="s">
        <v>66</v>
      </c>
      <c r="E24" s="3" t="s">
        <v>89</v>
      </c>
      <c r="F24" s="3" t="s">
        <v>90</v>
      </c>
      <c r="G24" s="3" t="s">
        <v>91</v>
      </c>
      <c r="H24" s="3" t="s">
        <v>92</v>
      </c>
      <c r="I24" s="3" t="s">
        <v>93</v>
      </c>
      <c r="J24" s="3" t="s">
        <v>94</v>
      </c>
      <c r="K24" s="3" t="s">
        <v>95</v>
      </c>
      <c r="L24" s="3" t="s">
        <v>96</v>
      </c>
      <c r="M24" s="3" t="s">
        <v>97</v>
      </c>
      <c r="N24" s="3" t="s">
        <v>98</v>
      </c>
      <c r="O24" s="3" t="s">
        <v>99</v>
      </c>
      <c r="P24" s="3" t="s">
        <v>100</v>
      </c>
      <c r="Q24" s="3" t="s">
        <v>101</v>
      </c>
      <c r="R24" s="3" t="s">
        <v>102</v>
      </c>
      <c r="S24" s="3" t="s">
        <v>103</v>
      </c>
      <c r="T24" s="3" t="s">
        <v>104</v>
      </c>
      <c r="U24" s="3" t="s">
        <v>105</v>
      </c>
      <c r="V24" s="3" t="s">
        <v>106</v>
      </c>
      <c r="W24" s="3" t="s">
        <v>107</v>
      </c>
      <c r="X24" s="3" t="s">
        <v>108</v>
      </c>
      <c r="Y24" s="3" t="s">
        <v>109</v>
      </c>
      <c r="Z24" s="3" t="s">
        <v>110</v>
      </c>
      <c r="AA24" s="3" t="s">
        <v>111</v>
      </c>
      <c r="AB24" s="3" t="s">
        <v>112</v>
      </c>
      <c r="AC24" s="3" t="s">
        <v>113</v>
      </c>
      <c r="AD24" s="3" t="s">
        <v>114</v>
      </c>
      <c r="AE24" s="3" t="s">
        <v>115</v>
      </c>
      <c r="AF24" s="3" t="s">
        <v>116</v>
      </c>
      <c r="AG24" s="3" t="s">
        <v>117</v>
      </c>
      <c r="AH24" s="3" t="s">
        <v>118</v>
      </c>
      <c r="AI24" s="3" t="s">
        <v>68</v>
      </c>
      <c r="AJ24" s="3" t="s">
        <v>69</v>
      </c>
    </row>
    <row r="25" spans="1:36" ht="31.5" x14ac:dyDescent="0.25">
      <c r="A25" s="16" t="s">
        <v>1</v>
      </c>
      <c r="B25" s="2" t="s">
        <v>56</v>
      </c>
      <c r="C25" s="32">
        <v>60</v>
      </c>
      <c r="D25" s="11">
        <v>1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25" s="5">
        <f ca="1">IF(Апрель[[#This Row],[УСЛУГ]]&lt;&gt;"",Апрель[[#This Row],[УСЛУГ]]*Апрель[[#This Row],[Периодичность]],"")</f>
        <v>0</v>
      </c>
    </row>
    <row r="26" spans="1:36" x14ac:dyDescent="0.25">
      <c r="A26" s="16"/>
      <c r="B26" s="2"/>
      <c r="C26" s="32">
        <v>60</v>
      </c>
      <c r="D26" s="11">
        <v>2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26" s="5" t="str">
        <f ca="1">IF(Апрель[[#This Row],[УСЛУГ]]&lt;&gt;"",Апрель[[#This Row],[УСЛУГ]]*Апрель[[#This Row],[Периодичность]],"")</f>
        <v/>
      </c>
    </row>
    <row r="27" spans="1:36" x14ac:dyDescent="0.25">
      <c r="A27" s="16"/>
      <c r="B27" s="2"/>
      <c r="C27" s="32">
        <v>60</v>
      </c>
      <c r="D27" s="11">
        <v>3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27" s="5" t="str">
        <f ca="1">IF(Апрель[[#This Row],[УСЛУГ]]&lt;&gt;"",Апрель[[#This Row],[УСЛУГ]]*Апрель[[#This Row],[Периодичность]],"")</f>
        <v/>
      </c>
    </row>
    <row r="28" spans="1:36" ht="31.5" x14ac:dyDescent="0.25">
      <c r="A28" s="16" t="s">
        <v>3</v>
      </c>
      <c r="B28" s="2" t="s">
        <v>58</v>
      </c>
      <c r="C28" s="32">
        <v>10</v>
      </c>
      <c r="D28" s="11">
        <v>1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28" s="5">
        <f ca="1">IF(Апрель[[#This Row],[УСЛУГ]]&lt;&gt;"",Апрель[[#This Row],[УСЛУГ]]*Апрель[[#This Row],[Периодичность]],"")</f>
        <v>0</v>
      </c>
    </row>
    <row r="29" spans="1:36" x14ac:dyDescent="0.25">
      <c r="A29" s="16"/>
      <c r="B29" s="2"/>
      <c r="C29" s="32">
        <v>10</v>
      </c>
      <c r="D29" s="11">
        <v>2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29" s="5" t="str">
        <f ca="1">IF(Апрель[[#This Row],[УСЛУГ]]&lt;&gt;"",Апрель[[#This Row],[УСЛУГ]]*Апрель[[#This Row],[Периодичность]],"")</f>
        <v/>
      </c>
    </row>
    <row r="30" spans="1:36" x14ac:dyDescent="0.25">
      <c r="A30" s="16"/>
      <c r="B30" s="2"/>
      <c r="C30" s="32">
        <v>10</v>
      </c>
      <c r="D30" s="11">
        <v>3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30" s="5" t="str">
        <f ca="1">IF(Апрель[[#This Row],[УСЛУГ]]&lt;&gt;"",Апрель[[#This Row],[УСЛУГ]]*Апрель[[#This Row],[Периодичность]],"")</f>
        <v/>
      </c>
    </row>
    <row r="31" spans="1:36" x14ac:dyDescent="0.25">
      <c r="A31" s="16" t="s">
        <v>5</v>
      </c>
      <c r="B31" s="2" t="s">
        <v>58</v>
      </c>
      <c r="C31" s="32">
        <v>30</v>
      </c>
      <c r="D31" s="11">
        <v>1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31" s="5">
        <f ca="1">IF(Апрель[[#This Row],[УСЛУГ]]&lt;&gt;"",Апрель[[#This Row],[УСЛУГ]]*Апрель[[#This Row],[Периодичность]],"")</f>
        <v>0</v>
      </c>
    </row>
    <row r="32" spans="1:36" x14ac:dyDescent="0.25">
      <c r="A32" s="16"/>
      <c r="B32" s="2"/>
      <c r="C32" s="32">
        <v>30</v>
      </c>
      <c r="D32" s="11">
        <v>2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32" s="5" t="str">
        <f ca="1">IF(Апрель[[#This Row],[УСЛУГ]]&lt;&gt;"",Апрель[[#This Row],[УСЛУГ]]*Апрель[[#This Row],[Периодичность]],"")</f>
        <v/>
      </c>
    </row>
    <row r="33" spans="1:36" x14ac:dyDescent="0.25">
      <c r="A33" s="16"/>
      <c r="B33" s="2"/>
      <c r="C33" s="32">
        <v>30</v>
      </c>
      <c r="D33" s="11">
        <v>3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33" s="5" t="str">
        <f ca="1">IF(Апрель[[#This Row],[УСЛУГ]]&lt;&gt;"",Апрель[[#This Row],[УСЛУГ]]*Апрель[[#This Row],[Периодичность]],"")</f>
        <v/>
      </c>
    </row>
    <row r="34" spans="1:36" ht="47.25" x14ac:dyDescent="0.25">
      <c r="A34" s="16" t="s">
        <v>85</v>
      </c>
      <c r="B34" s="2" t="s">
        <v>58</v>
      </c>
      <c r="C34" s="32">
        <v>3</v>
      </c>
      <c r="D34" s="11">
        <v>1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34" s="5">
        <f ca="1">IF(Апрель[[#This Row],[УСЛУГ]]&lt;&gt;"",Апрель[[#This Row],[УСЛУГ]]*Апрель[[#This Row],[Периодичность]],"")</f>
        <v>0</v>
      </c>
    </row>
    <row r="35" spans="1:36" x14ac:dyDescent="0.25">
      <c r="A35" s="16"/>
      <c r="B35" s="2"/>
      <c r="C35" s="32">
        <v>3</v>
      </c>
      <c r="D35" s="11">
        <v>2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35" s="5" t="str">
        <f ca="1">IF(Апрель[[#This Row],[УСЛУГ]]&lt;&gt;"",Апрель[[#This Row],[УСЛУГ]]*Апрель[[#This Row],[Периодичность]],"")</f>
        <v/>
      </c>
    </row>
    <row r="36" spans="1:36" x14ac:dyDescent="0.25">
      <c r="A36" s="16"/>
      <c r="B36" s="2"/>
      <c r="C36" s="32">
        <v>3</v>
      </c>
      <c r="D36" s="11">
        <v>3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36" s="5" t="str">
        <f ca="1">IF(Апрель[[#This Row],[УСЛУГ]]&lt;&gt;"",Апрель[[#This Row],[УСЛУГ]]*Апрель[[#This Row],[Периодичность]],"")</f>
        <v/>
      </c>
    </row>
    <row r="37" spans="1:36" x14ac:dyDescent="0.25">
      <c r="A37" s="16" t="s">
        <v>8</v>
      </c>
      <c r="B37" s="2" t="s">
        <v>59</v>
      </c>
      <c r="C37" s="32">
        <v>15</v>
      </c>
      <c r="D37" s="11">
        <v>1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37" s="5">
        <f ca="1">IF(Апрель[[#This Row],[УСЛУГ]]&lt;&gt;"",Апрель[[#This Row],[УСЛУГ]]*Апрель[[#This Row],[Периодичность]],"")</f>
        <v>0</v>
      </c>
    </row>
    <row r="38" spans="1:36" x14ac:dyDescent="0.25">
      <c r="A38" s="16"/>
      <c r="B38" s="2"/>
      <c r="C38" s="32">
        <v>15</v>
      </c>
      <c r="D38" s="11">
        <v>2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38" s="5" t="str">
        <f ca="1">IF(Апрель[[#This Row],[УСЛУГ]]&lt;&gt;"",Апрель[[#This Row],[УСЛУГ]]*Апрель[[#This Row],[Периодичность]],"")</f>
        <v/>
      </c>
    </row>
    <row r="39" spans="1:36" x14ac:dyDescent="0.25">
      <c r="A39" s="16"/>
      <c r="B39" s="2"/>
      <c r="C39" s="32">
        <v>15</v>
      </c>
      <c r="D39" s="11">
        <v>3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39" s="5" t="str">
        <f ca="1">IF(Апрель[[#This Row],[УСЛУГ]]&lt;&gt;"",Апрель[[#This Row],[УСЛУГ]]*Апрель[[#This Row],[Периодичность]],"")</f>
        <v/>
      </c>
    </row>
    <row r="40" spans="1:36" ht="47.25" x14ac:dyDescent="0.25">
      <c r="A40" s="16" t="s">
        <v>84</v>
      </c>
      <c r="B40" s="2" t="s">
        <v>61</v>
      </c>
      <c r="C40" s="32">
        <v>49</v>
      </c>
      <c r="D40" s="11">
        <v>1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40" s="5">
        <f ca="1">IF(Апрель[[#This Row],[УСЛУГ]]&lt;&gt;"",Апрель[[#This Row],[УСЛУГ]]*Апрель[[#This Row],[Периодичность]],"")</f>
        <v>0</v>
      </c>
    </row>
    <row r="41" spans="1:36" x14ac:dyDescent="0.25">
      <c r="A41" s="16"/>
      <c r="B41" s="2"/>
      <c r="C41" s="32">
        <v>49</v>
      </c>
      <c r="D41" s="11">
        <v>2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41" s="5" t="str">
        <f ca="1">IF(Апрель[[#This Row],[УСЛУГ]]&lt;&gt;"",Апрель[[#This Row],[УСЛУГ]]*Апрель[[#This Row],[Периодичность]],"")</f>
        <v/>
      </c>
    </row>
    <row r="42" spans="1:36" x14ac:dyDescent="0.25">
      <c r="A42" s="16"/>
      <c r="B42" s="2"/>
      <c r="C42" s="32">
        <v>49</v>
      </c>
      <c r="D42" s="11">
        <v>3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42" s="5" t="str">
        <f ca="1">IF(Апрель[[#This Row],[УСЛУГ]]&lt;&gt;"",Апрель[[#This Row],[УСЛУГ]]*Апрель[[#This Row],[Периодичность]],"")</f>
        <v/>
      </c>
    </row>
    <row r="43" spans="1:36" ht="31.5" x14ac:dyDescent="0.25">
      <c r="A43" s="16" t="s">
        <v>13</v>
      </c>
      <c r="B43" s="2" t="s">
        <v>59</v>
      </c>
      <c r="C43" s="32">
        <v>12</v>
      </c>
      <c r="D43" s="11">
        <v>1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43" s="5">
        <f ca="1">IF(Апрель[[#This Row],[УСЛУГ]]&lt;&gt;"",Апрель[[#This Row],[УСЛУГ]]*Апрель[[#This Row],[Периодичность]],"")</f>
        <v>0</v>
      </c>
    </row>
    <row r="44" spans="1:36" x14ac:dyDescent="0.25">
      <c r="A44" s="16"/>
      <c r="B44" s="2"/>
      <c r="C44" s="32">
        <v>12</v>
      </c>
      <c r="D44" s="11">
        <v>2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44" s="5" t="str">
        <f ca="1">IF(Апрель[[#This Row],[УСЛУГ]]&lt;&gt;"",Апрель[[#This Row],[УСЛУГ]]*Апрель[[#This Row],[Периодичность]],"")</f>
        <v/>
      </c>
    </row>
    <row r="45" spans="1:36" x14ac:dyDescent="0.25">
      <c r="A45" s="16"/>
      <c r="B45" s="2"/>
      <c r="C45" s="32">
        <v>12</v>
      </c>
      <c r="D45" s="11">
        <v>3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45" s="5" t="str">
        <f ca="1">IF(Апрель[[#This Row],[УСЛУГ]]&lt;&gt;"",Апрель[[#This Row],[УСЛУГ]]*Апрель[[#This Row],[Периодичность]],"")</f>
        <v/>
      </c>
    </row>
    <row r="46" spans="1:36" x14ac:dyDescent="0.25">
      <c r="A46" s="16" t="s">
        <v>16</v>
      </c>
      <c r="B46" s="2" t="s">
        <v>59</v>
      </c>
      <c r="C46" s="32">
        <v>15</v>
      </c>
      <c r="D46" s="11">
        <v>1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46" s="5">
        <f ca="1">IF(Апрель[[#This Row],[УСЛУГ]]&lt;&gt;"",Апрель[[#This Row],[УСЛУГ]]*Апрель[[#This Row],[Периодичность]],"")</f>
        <v>0</v>
      </c>
    </row>
    <row r="47" spans="1:36" x14ac:dyDescent="0.25">
      <c r="A47" s="16"/>
      <c r="B47" s="2"/>
      <c r="C47" s="32">
        <v>15</v>
      </c>
      <c r="D47" s="11">
        <v>2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47" s="5" t="str">
        <f ca="1">IF(Апрель[[#This Row],[УСЛУГ]]&lt;&gt;"",Апрель[[#This Row],[УСЛУГ]]*Апрель[[#This Row],[Периодичность]],"")</f>
        <v/>
      </c>
    </row>
    <row r="48" spans="1:36" x14ac:dyDescent="0.25">
      <c r="A48" s="16"/>
      <c r="B48" s="2"/>
      <c r="C48" s="32">
        <v>15</v>
      </c>
      <c r="D48" s="11">
        <v>3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48" s="5" t="str">
        <f ca="1">IF(Апрель[[#This Row],[УСЛУГ]]&lt;&gt;"",Апрель[[#This Row],[УСЛУГ]]*Апрель[[#This Row],[Периодичность]],"")</f>
        <v/>
      </c>
    </row>
    <row r="49" spans="1:36" ht="31.5" x14ac:dyDescent="0.25">
      <c r="A49" s="16" t="s">
        <v>25</v>
      </c>
      <c r="B49" s="2" t="s">
        <v>59</v>
      </c>
      <c r="C49" s="32">
        <v>10</v>
      </c>
      <c r="D49" s="11">
        <v>1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49" s="5">
        <f ca="1">IF(Апрель[[#This Row],[УСЛУГ]]&lt;&gt;"",Апрель[[#This Row],[УСЛУГ]]*Апрель[[#This Row],[Периодичность]],"")</f>
        <v>0</v>
      </c>
    </row>
    <row r="50" spans="1:36" x14ac:dyDescent="0.25">
      <c r="A50" s="16"/>
      <c r="B50" s="2"/>
      <c r="C50" s="32">
        <v>10</v>
      </c>
      <c r="D50" s="11">
        <v>2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50" s="5" t="str">
        <f ca="1">IF(Апрель[[#This Row],[УСЛУГ]]&lt;&gt;"",Апрель[[#This Row],[УСЛУГ]]*Апрель[[#This Row],[Периодичность]],"")</f>
        <v/>
      </c>
    </row>
    <row r="51" spans="1:36" x14ac:dyDescent="0.25">
      <c r="A51" s="16"/>
      <c r="B51" s="2"/>
      <c r="C51" s="32">
        <v>10</v>
      </c>
      <c r="D51" s="11">
        <v>3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51" s="5" t="str">
        <f ca="1">IF(Апрель[[#This Row],[УСЛУГ]]&lt;&gt;"",Апрель[[#This Row],[УСЛУГ]]*Апрель[[#This Row],[Периодичность]],"")</f>
        <v/>
      </c>
    </row>
    <row r="52" spans="1:36" ht="31.5" x14ac:dyDescent="0.25">
      <c r="A52" s="16" t="s">
        <v>27</v>
      </c>
      <c r="B52" s="2" t="s">
        <v>59</v>
      </c>
      <c r="C52" s="32">
        <v>15</v>
      </c>
      <c r="D52" s="11">
        <v>1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52" s="5">
        <f ca="1">IF(Апрель[[#This Row],[УСЛУГ]]&lt;&gt;"",Апрель[[#This Row],[УСЛУГ]]*Апрель[[#This Row],[Периодичность]],"")</f>
        <v>0</v>
      </c>
    </row>
    <row r="53" spans="1:36" x14ac:dyDescent="0.25">
      <c r="A53" s="16"/>
      <c r="B53" s="2"/>
      <c r="C53" s="32">
        <v>15</v>
      </c>
      <c r="D53" s="11">
        <v>2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53" s="5" t="str">
        <f ca="1">IF(Апрель[[#This Row],[УСЛУГ]]&lt;&gt;"",Апрель[[#This Row],[УСЛУГ]]*Апрель[[#This Row],[Периодичность]],"")</f>
        <v/>
      </c>
    </row>
    <row r="54" spans="1:36" x14ac:dyDescent="0.25">
      <c r="A54" s="16"/>
      <c r="B54" s="2"/>
      <c r="C54" s="32">
        <v>15</v>
      </c>
      <c r="D54" s="11">
        <v>3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54" s="5" t="str">
        <f ca="1">IF(Апрель[[#This Row],[УСЛУГ]]&lt;&gt;"",Апрель[[#This Row],[УСЛУГ]]*Апрель[[#This Row],[Периодичность]],"")</f>
        <v/>
      </c>
    </row>
    <row r="55" spans="1:36" ht="31.5" x14ac:dyDescent="0.25">
      <c r="A55" s="16" t="s">
        <v>29</v>
      </c>
      <c r="B55" s="2" t="s">
        <v>61</v>
      </c>
      <c r="C55" s="32">
        <v>15</v>
      </c>
      <c r="D55" s="11">
        <v>1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55" s="5">
        <f ca="1">IF(Апрель[[#This Row],[УСЛУГ]]&lt;&gt;"",Апрель[[#This Row],[УСЛУГ]]*Апрель[[#This Row],[Периодичность]],"")</f>
        <v>0</v>
      </c>
    </row>
    <row r="56" spans="1:36" x14ac:dyDescent="0.25">
      <c r="A56" s="16"/>
      <c r="B56" s="2"/>
      <c r="C56" s="32">
        <v>15</v>
      </c>
      <c r="D56" s="11">
        <v>2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56" s="5" t="str">
        <f ca="1">IF(Апрель[[#This Row],[УСЛУГ]]&lt;&gt;"",Апрель[[#This Row],[УСЛУГ]]*Апрель[[#This Row],[Периодичность]],"")</f>
        <v/>
      </c>
    </row>
    <row r="57" spans="1:36" x14ac:dyDescent="0.25">
      <c r="A57" s="16"/>
      <c r="B57" s="2"/>
      <c r="C57" s="32">
        <v>15</v>
      </c>
      <c r="D57" s="11">
        <v>3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57" s="5" t="str">
        <f ca="1">IF(Апрель[[#This Row],[УСЛУГ]]&lt;&gt;"",Апрель[[#This Row],[УСЛУГ]]*Апрель[[#This Row],[Периодичность]],"")</f>
        <v/>
      </c>
    </row>
    <row r="58" spans="1:36" ht="47.25" x14ac:dyDescent="0.25">
      <c r="A58" s="16" t="s">
        <v>83</v>
      </c>
      <c r="B58" s="2" t="s">
        <v>58</v>
      </c>
      <c r="C58" s="32">
        <v>10</v>
      </c>
      <c r="D58" s="11">
        <v>1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58" s="5">
        <f ca="1">IF(Апрель[[#This Row],[УСЛУГ]]&lt;&gt;"",Апрель[[#This Row],[УСЛУГ]]*Апрель[[#This Row],[Периодичность]],"")</f>
        <v>0</v>
      </c>
    </row>
    <row r="59" spans="1:36" x14ac:dyDescent="0.25">
      <c r="A59" s="16"/>
      <c r="B59" s="2"/>
      <c r="C59" s="32">
        <v>10</v>
      </c>
      <c r="D59" s="11">
        <v>2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59" s="5" t="str">
        <f ca="1">IF(Апрель[[#This Row],[УСЛУГ]]&lt;&gt;"",Апрель[[#This Row],[УСЛУГ]]*Апрель[[#This Row],[Периодичность]],"")</f>
        <v/>
      </c>
    </row>
    <row r="60" spans="1:36" x14ac:dyDescent="0.25">
      <c r="A60" s="16"/>
      <c r="B60" s="2"/>
      <c r="C60" s="32">
        <v>10</v>
      </c>
      <c r="D60" s="11">
        <v>3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60" s="5" t="str">
        <f ca="1">IF(Апрель[[#This Row],[УСЛУГ]]&lt;&gt;"",Апрель[[#This Row],[УСЛУГ]]*Апрель[[#This Row],[Периодичность]],"")</f>
        <v/>
      </c>
    </row>
    <row r="61" spans="1:36" ht="47.25" x14ac:dyDescent="0.25">
      <c r="A61" s="16" t="s">
        <v>82</v>
      </c>
      <c r="B61" s="2" t="s">
        <v>59</v>
      </c>
      <c r="C61" s="32">
        <v>10</v>
      </c>
      <c r="D61" s="11">
        <v>1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61" s="5">
        <f ca="1">IF(Апрель[[#This Row],[УСЛУГ]]&lt;&gt;"",Апрель[[#This Row],[УСЛУГ]]*Апрель[[#This Row],[Периодичность]],"")</f>
        <v>0</v>
      </c>
    </row>
    <row r="62" spans="1:36" x14ac:dyDescent="0.25">
      <c r="A62" s="16"/>
      <c r="B62" s="2"/>
      <c r="C62" s="32">
        <v>10</v>
      </c>
      <c r="D62" s="11">
        <v>2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62" s="5" t="str">
        <f ca="1">IF(Апрель[[#This Row],[УСЛУГ]]&lt;&gt;"",Апрель[[#This Row],[УСЛУГ]]*Апрель[[#This Row],[Периодичность]],"")</f>
        <v/>
      </c>
    </row>
    <row r="63" spans="1:36" x14ac:dyDescent="0.25">
      <c r="A63" s="16"/>
      <c r="B63" s="2"/>
      <c r="C63" s="32">
        <v>10</v>
      </c>
      <c r="D63" s="11">
        <v>3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63" s="5" t="str">
        <f ca="1">IF(Апрель[[#This Row],[УСЛУГ]]&lt;&gt;"",Апрель[[#This Row],[УСЛУГ]]*Апрель[[#This Row],[Периодичность]],"")</f>
        <v/>
      </c>
    </row>
    <row r="64" spans="1:36" ht="31.5" x14ac:dyDescent="0.25">
      <c r="A64" s="16" t="s">
        <v>37</v>
      </c>
      <c r="B64" s="2" t="s">
        <v>60</v>
      </c>
      <c r="C64" s="32">
        <v>5</v>
      </c>
      <c r="D64" s="11">
        <v>1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64" s="5">
        <f ca="1">IF(Апрель[[#This Row],[УСЛУГ]]&lt;&gt;"",Апрель[[#This Row],[УСЛУГ]]*Апрель[[#This Row],[Периодичность]],"")</f>
        <v>0</v>
      </c>
    </row>
    <row r="65" spans="1:36" x14ac:dyDescent="0.25">
      <c r="A65" s="16"/>
      <c r="B65" s="2"/>
      <c r="C65" s="32">
        <v>5</v>
      </c>
      <c r="D65" s="11">
        <v>2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65" s="5" t="str">
        <f ca="1">IF(Апрель[[#This Row],[УСЛУГ]]&lt;&gt;"",Апрель[[#This Row],[УСЛУГ]]*Апрель[[#This Row],[Периодичность]],"")</f>
        <v/>
      </c>
    </row>
    <row r="66" spans="1:36" x14ac:dyDescent="0.25">
      <c r="A66" s="16"/>
      <c r="B66" s="2"/>
      <c r="C66" s="32">
        <v>5</v>
      </c>
      <c r="D66" s="11">
        <v>3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66" s="5" t="str">
        <f ca="1">IF(Апрель[[#This Row],[УСЛУГ]]&lt;&gt;"",Апрель[[#This Row],[УСЛУГ]]*Апрель[[#This Row],[Периодичность]],"")</f>
        <v/>
      </c>
    </row>
    <row r="67" spans="1:36" x14ac:dyDescent="0.25">
      <c r="A67" s="16" t="s">
        <v>38</v>
      </c>
      <c r="B67" s="2" t="s">
        <v>59</v>
      </c>
      <c r="C67" s="32">
        <v>7</v>
      </c>
      <c r="D67" s="11">
        <v>1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67" s="5">
        <f ca="1">IF(Апрель[[#This Row],[УСЛУГ]]&lt;&gt;"",Апрель[[#This Row],[УСЛУГ]]*Апрель[[#This Row],[Периодичность]],"")</f>
        <v>0</v>
      </c>
    </row>
    <row r="68" spans="1:36" x14ac:dyDescent="0.25">
      <c r="A68" s="16"/>
      <c r="B68" s="2"/>
      <c r="C68" s="32">
        <v>7</v>
      </c>
      <c r="D68" s="11">
        <v>2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68" s="5" t="str">
        <f ca="1">IF(Апрель[[#This Row],[УСЛУГ]]&lt;&gt;"",Апрель[[#This Row],[УСЛУГ]]*Апрель[[#This Row],[Периодичность]],"")</f>
        <v/>
      </c>
    </row>
    <row r="69" spans="1:36" x14ac:dyDescent="0.25">
      <c r="A69" s="16"/>
      <c r="B69" s="2"/>
      <c r="C69" s="32">
        <v>7</v>
      </c>
      <c r="D69" s="11">
        <v>3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69" s="5" t="str">
        <f ca="1">IF(Апрель[[#This Row],[УСЛУГ]]&lt;&gt;"",Апрель[[#This Row],[УСЛУГ]]*Апрель[[#This Row],[Периодичность]],"")</f>
        <v/>
      </c>
    </row>
    <row r="70" spans="1:36" ht="47.25" x14ac:dyDescent="0.25">
      <c r="A70" s="16" t="s">
        <v>81</v>
      </c>
      <c r="B70" s="2" t="s">
        <v>59</v>
      </c>
      <c r="C70" s="32">
        <v>5</v>
      </c>
      <c r="D70" s="11">
        <v>1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70" s="5">
        <f ca="1">IF(Апрель[[#This Row],[УСЛУГ]]&lt;&gt;"",Апрель[[#This Row],[УСЛУГ]]*Апрель[[#This Row],[Периодичность]],"")</f>
        <v>0</v>
      </c>
    </row>
    <row r="71" spans="1:36" x14ac:dyDescent="0.25">
      <c r="A71" s="16"/>
      <c r="B71" s="2"/>
      <c r="C71" s="32">
        <v>5</v>
      </c>
      <c r="D71" s="11">
        <v>2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71" s="5" t="str">
        <f ca="1">IF(Апрель[[#This Row],[УСЛУГ]]&lt;&gt;"",Апрель[[#This Row],[УСЛУГ]]*Апрель[[#This Row],[Периодичность]],"")</f>
        <v/>
      </c>
    </row>
    <row r="72" spans="1:36" x14ac:dyDescent="0.25">
      <c r="A72" s="16"/>
      <c r="B72" s="2"/>
      <c r="C72" s="32">
        <v>5</v>
      </c>
      <c r="D72" s="11">
        <v>3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72" s="5" t="str">
        <f ca="1">IF(Апрель[[#This Row],[УСЛУГ]]&lt;&gt;"",Апрель[[#This Row],[УСЛУГ]]*Апрель[[#This Row],[Периодичность]],"")</f>
        <v/>
      </c>
    </row>
    <row r="73" spans="1:36" ht="47.25" x14ac:dyDescent="0.25">
      <c r="A73" s="16" t="s">
        <v>80</v>
      </c>
      <c r="B73" s="2" t="s">
        <v>59</v>
      </c>
      <c r="C73" s="32">
        <v>5</v>
      </c>
      <c r="D73" s="11">
        <v>1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73" s="5">
        <f ca="1">IF(Апрель[[#This Row],[УСЛУГ]]&lt;&gt;"",Апрель[[#This Row],[УСЛУГ]]*Апрель[[#This Row],[Периодичность]],"")</f>
        <v>0</v>
      </c>
    </row>
    <row r="74" spans="1:36" x14ac:dyDescent="0.25">
      <c r="A74" s="16"/>
      <c r="B74" s="2"/>
      <c r="C74" s="32">
        <v>5</v>
      </c>
      <c r="D74" s="11">
        <v>2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74" s="5" t="str">
        <f ca="1">IF(Апрель[[#This Row],[УСЛУГ]]&lt;&gt;"",Апрель[[#This Row],[УСЛУГ]]*Апрель[[#This Row],[Периодичность]],"")</f>
        <v/>
      </c>
    </row>
    <row r="75" spans="1:36" x14ac:dyDescent="0.25">
      <c r="A75" s="16"/>
      <c r="B75" s="2"/>
      <c r="C75" s="32">
        <v>5</v>
      </c>
      <c r="D75" s="11">
        <v>3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75" s="5" t="str">
        <f ca="1">IF(Апрель[[#This Row],[УСЛУГ]]&lt;&gt;"",Апрель[[#This Row],[УСЛУГ]]*Апрель[[#This Row],[Периодичность]],"")</f>
        <v/>
      </c>
    </row>
    <row r="76" spans="1:36" ht="47.25" x14ac:dyDescent="0.25">
      <c r="A76" s="16" t="s">
        <v>79</v>
      </c>
      <c r="B76" s="2" t="s">
        <v>57</v>
      </c>
      <c r="C76" s="32">
        <v>45</v>
      </c>
      <c r="D76" s="11">
        <v>1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76" s="5">
        <f ca="1">IF(Апрель[[#This Row],[УСЛУГ]]&lt;&gt;"",Апрель[[#This Row],[УСЛУГ]]*Апрель[[#This Row],[Периодичность]],"")</f>
        <v>0</v>
      </c>
    </row>
    <row r="77" spans="1:36" x14ac:dyDescent="0.25">
      <c r="A77" s="16"/>
      <c r="B77" s="2"/>
      <c r="C77" s="32">
        <v>45</v>
      </c>
      <c r="D77" s="11">
        <v>2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77" s="5" t="str">
        <f ca="1">IF(Апрель[[#This Row],[УСЛУГ]]&lt;&gt;"",Апрель[[#This Row],[УСЛУГ]]*Апрель[[#This Row],[Периодичность]],"")</f>
        <v/>
      </c>
    </row>
    <row r="78" spans="1:36" x14ac:dyDescent="0.25">
      <c r="A78" s="16"/>
      <c r="B78" s="2"/>
      <c r="C78" s="32">
        <v>45</v>
      </c>
      <c r="D78" s="11">
        <v>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78" s="5" t="str">
        <f ca="1">IF(Апрель[[#This Row],[УСЛУГ]]&lt;&gt;"",Апрель[[#This Row],[УСЛУГ]]*Апрель[[#This Row],[Периодичность]],"")</f>
        <v/>
      </c>
    </row>
    <row r="79" spans="1:36" ht="47.25" x14ac:dyDescent="0.25">
      <c r="A79" s="16" t="s">
        <v>78</v>
      </c>
      <c r="B79" s="2" t="s">
        <v>59</v>
      </c>
      <c r="C79" s="32">
        <v>10</v>
      </c>
      <c r="D79" s="11">
        <v>1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79" s="5">
        <f ca="1">IF(Апрель[[#This Row],[УСЛУГ]]&lt;&gt;"",Апрель[[#This Row],[УСЛУГ]]*Апрель[[#This Row],[Периодичность]],"")</f>
        <v>0</v>
      </c>
    </row>
    <row r="80" spans="1:36" x14ac:dyDescent="0.25">
      <c r="A80" s="16"/>
      <c r="B80" s="2"/>
      <c r="C80" s="32">
        <v>10</v>
      </c>
      <c r="D80" s="11">
        <v>2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80" s="5" t="str">
        <f ca="1">IF(Апрель[[#This Row],[УСЛУГ]]&lt;&gt;"",Апрель[[#This Row],[УСЛУГ]]*Апрель[[#This Row],[Периодичность]],"")</f>
        <v/>
      </c>
    </row>
    <row r="81" spans="1:36" x14ac:dyDescent="0.25">
      <c r="A81" s="16"/>
      <c r="B81" s="2"/>
      <c r="C81" s="32">
        <v>10</v>
      </c>
      <c r="D81" s="11">
        <v>3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81" s="5" t="str">
        <f ca="1">IF(Апрель[[#This Row],[УСЛУГ]]&lt;&gt;"",Апрель[[#This Row],[УСЛУГ]]*Апрель[[#This Row],[Периодичность]],"")</f>
        <v/>
      </c>
    </row>
    <row r="84" spans="1:36" x14ac:dyDescent="0.25">
      <c r="A84" s="34"/>
      <c r="B84" s="34"/>
      <c r="C84" s="34"/>
    </row>
    <row r="85" spans="1:36" x14ac:dyDescent="0.25">
      <c r="A85" s="35"/>
      <c r="B85" s="36"/>
      <c r="C85" s="36"/>
    </row>
    <row r="86" spans="1:36" x14ac:dyDescent="0.25">
      <c r="A86" s="35"/>
      <c r="B86" s="36"/>
      <c r="C86" s="36"/>
    </row>
    <row r="87" spans="1:36" x14ac:dyDescent="0.25">
      <c r="A87" s="35"/>
      <c r="B87" s="36"/>
      <c r="C87" s="36"/>
    </row>
    <row r="88" spans="1:36" x14ac:dyDescent="0.25">
      <c r="A88" s="35"/>
      <c r="B88" s="36"/>
      <c r="C88" s="36"/>
    </row>
    <row r="89" spans="1:36" x14ac:dyDescent="0.25">
      <c r="A89" s="35"/>
      <c r="B89" s="36"/>
      <c r="C89" s="36"/>
    </row>
    <row r="90" spans="1:36" x14ac:dyDescent="0.25">
      <c r="A90" s="35"/>
      <c r="B90" s="36"/>
      <c r="C90" s="36"/>
    </row>
    <row r="91" spans="1:36" x14ac:dyDescent="0.25">
      <c r="A91" s="35"/>
      <c r="B91" s="36"/>
      <c r="C91" s="36"/>
    </row>
    <row r="92" spans="1:36" x14ac:dyDescent="0.25">
      <c r="A92" s="35"/>
      <c r="B92" s="36"/>
      <c r="C92" s="36"/>
    </row>
    <row r="93" spans="1:36" x14ac:dyDescent="0.25">
      <c r="A93" s="35"/>
      <c r="B93" s="36"/>
      <c r="C93" s="36"/>
    </row>
    <row r="94" spans="1:36" x14ac:dyDescent="0.25">
      <c r="A94" s="35"/>
      <c r="B94" s="36"/>
      <c r="C94" s="36"/>
    </row>
    <row r="95" spans="1:36" x14ac:dyDescent="0.25">
      <c r="A95" s="35"/>
      <c r="B95" s="36"/>
      <c r="C95" s="36"/>
    </row>
    <row r="96" spans="1:36" x14ac:dyDescent="0.25">
      <c r="A96" s="35"/>
      <c r="B96" s="36"/>
      <c r="C96" s="36"/>
    </row>
    <row r="97" spans="1:3" x14ac:dyDescent="0.25">
      <c r="A97" s="35"/>
      <c r="B97" s="36"/>
      <c r="C97" s="36"/>
    </row>
    <row r="98" spans="1:3" x14ac:dyDescent="0.25">
      <c r="A98" s="35"/>
      <c r="B98" s="36"/>
      <c r="C98" s="36"/>
    </row>
    <row r="99" spans="1:3" x14ac:dyDescent="0.25">
      <c r="A99" s="35"/>
      <c r="B99" s="36"/>
      <c r="C99" s="36"/>
    </row>
    <row r="100" spans="1:3" x14ac:dyDescent="0.25">
      <c r="A100" s="35"/>
      <c r="B100" s="36"/>
      <c r="C100" s="36"/>
    </row>
    <row r="101" spans="1:3" x14ac:dyDescent="0.25">
      <c r="A101" s="35"/>
      <c r="B101" s="36"/>
      <c r="C101" s="36"/>
    </row>
    <row r="102" spans="1:3" x14ac:dyDescent="0.25">
      <c r="A102" s="35"/>
      <c r="B102" s="36"/>
      <c r="C102" s="36"/>
    </row>
    <row r="103" spans="1:3" x14ac:dyDescent="0.25">
      <c r="A103" s="35"/>
      <c r="B103" s="36"/>
      <c r="C103" s="36"/>
    </row>
    <row r="104" spans="1:3" x14ac:dyDescent="0.25">
      <c r="A104" s="35"/>
      <c r="B104" s="36"/>
      <c r="C104" s="36"/>
    </row>
    <row r="105" spans="1:3" x14ac:dyDescent="0.25">
      <c r="A105" s="34"/>
      <c r="B105" s="34"/>
      <c r="C105" s="34"/>
    </row>
  </sheetData>
  <mergeCells count="20">
    <mergeCell ref="AI7:AI11"/>
    <mergeCell ref="AJ7:AJ11"/>
    <mergeCell ref="E10:AH11"/>
    <mergeCell ref="A19:A23"/>
    <mergeCell ref="B19:C23"/>
    <mergeCell ref="D19:D23"/>
    <mergeCell ref="E19:AH20"/>
    <mergeCell ref="AI19:AI23"/>
    <mergeCell ref="AJ19:AJ23"/>
    <mergeCell ref="E22:AH23"/>
    <mergeCell ref="A7:A11"/>
    <mergeCell ref="B7:B11"/>
    <mergeCell ref="C7:C11"/>
    <mergeCell ref="D7:D11"/>
    <mergeCell ref="E7:AH8"/>
    <mergeCell ref="A2:AJ2"/>
    <mergeCell ref="A3:AJ3"/>
    <mergeCell ref="J4:L4"/>
    <mergeCell ref="M4:U4"/>
    <mergeCell ref="M5:Q5"/>
  </mergeCells>
  <conditionalFormatting sqref="E9:AH9">
    <cfRule type="expression" dxfId="882" priority="2">
      <formula>WEEKDAY(E9:AH9,2)&gt;5</formula>
    </cfRule>
  </conditionalFormatting>
  <conditionalFormatting sqref="E21:AH21">
    <cfRule type="expression" dxfId="881" priority="1">
      <formula>WEEKDAY(E21:AH21,2)&gt;5</formula>
    </cfRule>
  </conditionalFormatting>
  <dataValidations count="2">
    <dataValidation type="list" allowBlank="1" showInputMessage="1" showErrorMessage="1" sqref="A25:A81">
      <formula1>INDIRECT("Услуги[Кратко]")</formula1>
    </dataValidation>
    <dataValidation type="list" allowBlank="1" showInputMessage="1" showErrorMessage="1" sqref="D25:D81">
      <formula1>INDIRECT("Посещения")</formula1>
    </dataValidation>
  </dataValidations>
  <pageMargins left="0.25" right="0.25" top="0.75" bottom="0.75" header="0.3" footer="0.3"/>
  <pageSetup paperSize="9" scale="52" fitToHeight="0" orientation="landscape" horizontalDpi="300" verticalDpi="300" r:id="rId1"/>
  <ignoredErrors>
    <ignoredError sqref="E13:E17 AI17:AJ17 B13:B17 C25:C81" calculatedColumn="1"/>
  </ignoredErrors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81"/>
  <sheetViews>
    <sheetView zoomScale="80" zoomScaleNormal="80" workbookViewId="0">
      <selection activeCell="B5" sqref="B5"/>
    </sheetView>
  </sheetViews>
  <sheetFormatPr defaultRowHeight="15.75" x14ac:dyDescent="0.25"/>
  <cols>
    <col min="1" max="1" width="21.42578125" style="3" customWidth="1"/>
    <col min="2" max="2" width="14.28515625" style="3" customWidth="1"/>
    <col min="3" max="3" width="17.7109375" style="3" customWidth="1"/>
    <col min="4" max="4" width="9.28515625" style="3" customWidth="1"/>
    <col min="5" max="5" width="6.85546875" style="3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8" ht="18.75" x14ac:dyDescent="0.25">
      <c r="A2" s="60" t="s">
        <v>72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</row>
    <row r="3" spans="1:38" ht="18.75" x14ac:dyDescent="0.25">
      <c r="A3" s="60" t="s">
        <v>73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</row>
    <row r="4" spans="1:38" ht="18.75" x14ac:dyDescent="0.25">
      <c r="I4" s="13"/>
      <c r="J4" s="61" t="s">
        <v>74</v>
      </c>
      <c r="K4" s="61"/>
      <c r="L4" s="61"/>
      <c r="M4" s="62"/>
      <c r="N4" s="54"/>
      <c r="O4" s="54"/>
      <c r="P4" s="54"/>
      <c r="Q4" s="54"/>
      <c r="R4" s="54"/>
      <c r="S4" s="54"/>
      <c r="T4" s="54"/>
      <c r="U4" s="54"/>
    </row>
    <row r="5" spans="1:38" ht="18.75" x14ac:dyDescent="0.25">
      <c r="L5" s="12" t="s">
        <v>75</v>
      </c>
      <c r="M5" s="63" t="s">
        <v>139</v>
      </c>
      <c r="N5" s="64"/>
      <c r="O5" s="64"/>
      <c r="P5" s="64"/>
      <c r="Q5" s="64"/>
      <c r="R5" s="37">
        <f>Год[Год]</f>
        <v>2023</v>
      </c>
      <c r="S5" s="38" t="s">
        <v>138</v>
      </c>
      <c r="T5" s="14"/>
      <c r="U5" s="14"/>
    </row>
    <row r="6" spans="1:38" ht="17.25" customHeight="1" x14ac:dyDescent="0.25"/>
    <row r="7" spans="1:38" ht="26.25" customHeight="1" x14ac:dyDescent="0.25">
      <c r="A7" s="49"/>
      <c r="B7" s="57" t="s">
        <v>121</v>
      </c>
      <c r="C7" s="57" t="s">
        <v>120</v>
      </c>
      <c r="D7" s="58" t="s">
        <v>67</v>
      </c>
      <c r="E7" s="43" t="s">
        <v>55</v>
      </c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5"/>
      <c r="AJ7" s="39" t="s">
        <v>70</v>
      </c>
      <c r="AK7" s="40" t="s">
        <v>70</v>
      </c>
    </row>
    <row r="8" spans="1:38" x14ac:dyDescent="0.25">
      <c r="A8" s="49"/>
      <c r="B8" s="52"/>
      <c r="C8" s="52"/>
      <c r="D8" s="59"/>
      <c r="E8" s="53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5"/>
      <c r="AJ8" s="39"/>
      <c r="AK8" s="41"/>
    </row>
    <row r="9" spans="1:38" x14ac:dyDescent="0.25">
      <c r="A9" s="49"/>
      <c r="B9" s="52"/>
      <c r="C9" s="52"/>
      <c r="D9" s="59"/>
      <c r="E9" s="23">
        <f>Настройки!E11</f>
        <v>45047</v>
      </c>
      <c r="F9" s="23">
        <f>Настройки!F11</f>
        <v>45048</v>
      </c>
      <c r="G9" s="23">
        <f>Настройки!G11</f>
        <v>45049</v>
      </c>
      <c r="H9" s="23">
        <f>Настройки!H11</f>
        <v>45050</v>
      </c>
      <c r="I9" s="23">
        <f>Настройки!I11</f>
        <v>45051</v>
      </c>
      <c r="J9" s="23">
        <f>Настройки!J11</f>
        <v>45052</v>
      </c>
      <c r="K9" s="23">
        <f>Настройки!K11</f>
        <v>45053</v>
      </c>
      <c r="L9" s="23">
        <f>Настройки!L11</f>
        <v>45054</v>
      </c>
      <c r="M9" s="23">
        <f>Настройки!M11</f>
        <v>45055</v>
      </c>
      <c r="N9" s="23">
        <f>Настройки!N11</f>
        <v>45056</v>
      </c>
      <c r="O9" s="23">
        <f>Настройки!O11</f>
        <v>45057</v>
      </c>
      <c r="P9" s="23">
        <f>Настройки!P11</f>
        <v>45058</v>
      </c>
      <c r="Q9" s="23">
        <f>Настройки!Q11</f>
        <v>45059</v>
      </c>
      <c r="R9" s="23">
        <f>Настройки!R11</f>
        <v>45060</v>
      </c>
      <c r="S9" s="23">
        <f>Настройки!S11</f>
        <v>45061</v>
      </c>
      <c r="T9" s="23">
        <f>Настройки!T11</f>
        <v>45062</v>
      </c>
      <c r="U9" s="23">
        <f>Настройки!U11</f>
        <v>45063</v>
      </c>
      <c r="V9" s="23">
        <f>Настройки!V11</f>
        <v>45064</v>
      </c>
      <c r="W9" s="23">
        <f>Настройки!W11</f>
        <v>45065</v>
      </c>
      <c r="X9" s="23">
        <f>Настройки!X11</f>
        <v>45066</v>
      </c>
      <c r="Y9" s="23">
        <f>Настройки!Y11</f>
        <v>45067</v>
      </c>
      <c r="Z9" s="23">
        <f>Настройки!Z11</f>
        <v>45068</v>
      </c>
      <c r="AA9" s="23">
        <f>Настройки!AA11</f>
        <v>45069</v>
      </c>
      <c r="AB9" s="23">
        <f>Настройки!AB11</f>
        <v>45070</v>
      </c>
      <c r="AC9" s="23">
        <f>Настройки!AC11</f>
        <v>45071</v>
      </c>
      <c r="AD9" s="23">
        <f>Настройки!AD11</f>
        <v>45072</v>
      </c>
      <c r="AE9" s="23">
        <f>Настройки!AE11</f>
        <v>45073</v>
      </c>
      <c r="AF9" s="23">
        <f>Настройки!AF11</f>
        <v>45074</v>
      </c>
      <c r="AG9" s="23">
        <f>Настройки!AG11</f>
        <v>45075</v>
      </c>
      <c r="AH9" s="23">
        <f>Настройки!AH11</f>
        <v>45076</v>
      </c>
      <c r="AI9" s="23">
        <f>Настройки!AI11</f>
        <v>45077</v>
      </c>
      <c r="AJ9" s="39"/>
      <c r="AK9" s="41"/>
    </row>
    <row r="10" spans="1:38" x14ac:dyDescent="0.25">
      <c r="A10" s="49"/>
      <c r="B10" s="52"/>
      <c r="C10" s="52"/>
      <c r="D10" s="59"/>
      <c r="E10" s="43" t="s">
        <v>54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5"/>
      <c r="AJ10" s="39"/>
      <c r="AK10" s="41"/>
    </row>
    <row r="11" spans="1:38" x14ac:dyDescent="0.25">
      <c r="A11" s="57"/>
      <c r="B11" s="52"/>
      <c r="C11" s="52"/>
      <c r="D11" s="59"/>
      <c r="E11" s="46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8"/>
      <c r="AJ11" s="39"/>
      <c r="AK11" s="42"/>
    </row>
    <row r="12" spans="1:38" ht="22.5" customHeight="1" x14ac:dyDescent="0.25">
      <c r="A12" s="3" t="s">
        <v>88</v>
      </c>
      <c r="B12" s="3" t="s">
        <v>87</v>
      </c>
      <c r="C12" s="3" t="s">
        <v>119</v>
      </c>
      <c r="D12" s="9" t="s">
        <v>66</v>
      </c>
      <c r="E12" s="3" t="s">
        <v>89</v>
      </c>
      <c r="F12" s="3" t="s">
        <v>90</v>
      </c>
      <c r="G12" s="3" t="s">
        <v>91</v>
      </c>
      <c r="H12" s="3" t="s">
        <v>92</v>
      </c>
      <c r="I12" s="3" t="s">
        <v>93</v>
      </c>
      <c r="J12" s="3" t="s">
        <v>94</v>
      </c>
      <c r="K12" s="3" t="s">
        <v>95</v>
      </c>
      <c r="L12" s="3" t="s">
        <v>96</v>
      </c>
      <c r="M12" s="3" t="s">
        <v>97</v>
      </c>
      <c r="N12" s="3" t="s">
        <v>98</v>
      </c>
      <c r="O12" s="3" t="s">
        <v>99</v>
      </c>
      <c r="P12" s="3" t="s">
        <v>100</v>
      </c>
      <c r="Q12" s="3" t="s">
        <v>101</v>
      </c>
      <c r="R12" s="3" t="s">
        <v>102</v>
      </c>
      <c r="S12" s="3" t="s">
        <v>103</v>
      </c>
      <c r="T12" s="3" t="s">
        <v>104</v>
      </c>
      <c r="U12" s="3" t="s">
        <v>105</v>
      </c>
      <c r="V12" s="3" t="s">
        <v>106</v>
      </c>
      <c r="W12" s="3" t="s">
        <v>107</v>
      </c>
      <c r="X12" s="3" t="s">
        <v>108</v>
      </c>
      <c r="Y12" s="3" t="s">
        <v>109</v>
      </c>
      <c r="Z12" s="3" t="s">
        <v>110</v>
      </c>
      <c r="AA12" s="3" t="s">
        <v>111</v>
      </c>
      <c r="AB12" s="3" t="s">
        <v>112</v>
      </c>
      <c r="AC12" s="3" t="s">
        <v>113</v>
      </c>
      <c r="AD12" s="3" t="s">
        <v>114</v>
      </c>
      <c r="AE12" s="3" t="s">
        <v>115</v>
      </c>
      <c r="AF12" s="3" t="s">
        <v>116</v>
      </c>
      <c r="AG12" s="3" t="s">
        <v>117</v>
      </c>
      <c r="AH12" s="3" t="s">
        <v>118</v>
      </c>
      <c r="AI12" s="3" t="s">
        <v>127</v>
      </c>
      <c r="AJ12" s="3" t="s">
        <v>68</v>
      </c>
      <c r="AK12" s="3" t="s">
        <v>69</v>
      </c>
      <c r="AL12" s="4"/>
    </row>
    <row r="13" spans="1:38" x14ac:dyDescent="0.25">
      <c r="A13" s="5" t="s">
        <v>62</v>
      </c>
      <c r="B13" s="3">
        <f>SUMPRODUCT((Настройки!$E$25:$AI$25=1)*E16:AI16)</f>
        <v>0</v>
      </c>
      <c r="D13" s="5">
        <v>1</v>
      </c>
      <c r="E13" s="30">
        <f>SUMPRODUCT((Май[№]=1)*Май[1],Май[Периодичность])</f>
        <v>0</v>
      </c>
      <c r="F13" s="30">
        <f>SUMPRODUCT((Май[№]=1)*Май[2],Май[Периодичность])</f>
        <v>0</v>
      </c>
      <c r="G13" s="30">
        <f>SUMPRODUCT((Май[№]=1)*Май[3],Май[Периодичность])</f>
        <v>0</v>
      </c>
      <c r="H13" s="30">
        <f>SUMPRODUCT((Май[№]=1)*Май[4],Май[Периодичность])</f>
        <v>0</v>
      </c>
      <c r="I13" s="30">
        <f>SUMPRODUCT((Май[№]=1)*Май[5],Май[Периодичность])</f>
        <v>0</v>
      </c>
      <c r="J13" s="30">
        <f>SUMPRODUCT((Май[№]=1)*Май[6],Май[Периодичность])</f>
        <v>0</v>
      </c>
      <c r="K13" s="30">
        <f>SUMPRODUCT((Май[№]=1)*Май[7],Май[Периодичность])</f>
        <v>0</v>
      </c>
      <c r="L13" s="30">
        <f>SUMPRODUCT((Май[№]=1)*Май[8],Май[Периодичность])</f>
        <v>0</v>
      </c>
      <c r="M13" s="30">
        <f>SUMPRODUCT((Май[№]=1)*Май[9],Май[Периодичность])</f>
        <v>0</v>
      </c>
      <c r="N13" s="30">
        <f>SUMPRODUCT((Май[№]=1)*Май[10],Май[Периодичность])</f>
        <v>0</v>
      </c>
      <c r="O13" s="30">
        <f>SUMPRODUCT((Май[№]=1)*Май[11],Май[Периодичность])</f>
        <v>0</v>
      </c>
      <c r="P13" s="30">
        <f>SUMPRODUCT((Май[№]=1)*Май[12],Май[Периодичность])</f>
        <v>0</v>
      </c>
      <c r="Q13" s="30">
        <f>SUMPRODUCT((Май[№]=1)*Май[13],Май[Периодичность])</f>
        <v>0</v>
      </c>
      <c r="R13" s="30">
        <f>SUMPRODUCT((Май[№]=1)*Май[14],Май[Периодичность])</f>
        <v>0</v>
      </c>
      <c r="S13" s="30">
        <f>SUMPRODUCT((Май[№]=1)*Май[15],Май[Периодичность])</f>
        <v>0</v>
      </c>
      <c r="T13" s="30">
        <f>SUMPRODUCT((Май[№]=1)*Май[16],Май[Периодичность])</f>
        <v>0</v>
      </c>
      <c r="U13" s="30">
        <f>SUMPRODUCT((Май[№]=1)*Май[17],Май[Периодичность])</f>
        <v>0</v>
      </c>
      <c r="V13" s="30">
        <f>SUMPRODUCT((Май[№]=1)*Май[18],Май[Периодичность])</f>
        <v>0</v>
      </c>
      <c r="W13" s="30">
        <f>SUMPRODUCT((Май[№]=1)*Май[19],Май[Периодичность])</f>
        <v>0</v>
      </c>
      <c r="X13" s="30">
        <f>SUMPRODUCT((Май[№]=1)*Май[20],Май[Периодичность])</f>
        <v>0</v>
      </c>
      <c r="Y13" s="30">
        <f>SUMPRODUCT((Май[№]=1)*Май[21],Май[Периодичность])</f>
        <v>0</v>
      </c>
      <c r="Z13" s="30">
        <f>SUMPRODUCT((Май[№]=1)*Май[22],Май[Периодичность])</f>
        <v>0</v>
      </c>
      <c r="AA13" s="30">
        <f>SUMPRODUCT((Май[№]=1)*Май[23],Май[Периодичность])</f>
        <v>0</v>
      </c>
      <c r="AB13" s="30">
        <f>SUMPRODUCT((Май[№]=1)*Май[24],Май[Периодичность])</f>
        <v>0</v>
      </c>
      <c r="AC13" s="30">
        <f>SUMPRODUCT((Май[№]=1)*Май[25],Май[Периодичность])</f>
        <v>0</v>
      </c>
      <c r="AD13" s="30">
        <f>SUMPRODUCT((Май[№]=1)*Май[26],Май[Периодичность])</f>
        <v>0</v>
      </c>
      <c r="AE13" s="30">
        <f>SUMPRODUCT((Май[№]=1)*Май[27],Май[Периодичность])</f>
        <v>0</v>
      </c>
      <c r="AF13" s="30">
        <f>SUMPRODUCT((Май[№]=1)*Май[28],Май[Периодичность])</f>
        <v>0</v>
      </c>
      <c r="AG13" s="30">
        <f>SUMPRODUCT((Май[№]=1)*Май[29],Май[Периодичность])</f>
        <v>0</v>
      </c>
      <c r="AH13" s="30">
        <f>SUMPRODUCT((Май[№]=1)*Май[30],Май[Периодичность])</f>
        <v>0</v>
      </c>
      <c r="AI13" s="30">
        <f>SUMPRODUCT((Май[№]=1)*Май[31],Май[Периодичность])</f>
        <v>0</v>
      </c>
      <c r="AL13" s="4"/>
    </row>
    <row r="14" spans="1:38" x14ac:dyDescent="0.25">
      <c r="B14" s="3">
        <f>SUMPRODUCT((Настройки!$E$25:$AI$25=2)*E16:AI16)</f>
        <v>0</v>
      </c>
      <c r="D14" s="5">
        <v>2</v>
      </c>
      <c r="E14" s="30">
        <f>SUMPRODUCT((Май[№]=2)*Май[1],Май[Периодичность])</f>
        <v>0</v>
      </c>
      <c r="F14" s="30">
        <f>SUMPRODUCT((Май[№]=2)*Май[2],Май[Периодичность])</f>
        <v>0</v>
      </c>
      <c r="G14" s="30">
        <f>SUMPRODUCT((Май[№]=2)*Май[3],Май[Периодичность])</f>
        <v>0</v>
      </c>
      <c r="H14" s="30">
        <f>SUMPRODUCT((Май[№]=2)*Май[4],Май[Периодичность])</f>
        <v>0</v>
      </c>
      <c r="I14" s="30">
        <f>SUMPRODUCT((Май[№]=2)*Май[5],Май[Периодичность])</f>
        <v>0</v>
      </c>
      <c r="J14" s="30">
        <f>SUMPRODUCT((Май[№]=2)*Май[6],Май[Периодичность])</f>
        <v>0</v>
      </c>
      <c r="K14" s="30">
        <f>SUMPRODUCT((Май[№]=2)*Май[7],Май[Периодичность])</f>
        <v>0</v>
      </c>
      <c r="L14" s="30">
        <f>SUMPRODUCT((Май[№]=2)*Май[8],Май[Периодичность])</f>
        <v>0</v>
      </c>
      <c r="M14" s="30">
        <f>SUMPRODUCT((Май[№]=2)*Май[9],Май[Периодичность])</f>
        <v>0</v>
      </c>
      <c r="N14" s="30">
        <f>SUMPRODUCT((Май[№]=2)*Май[10],Май[Периодичность])</f>
        <v>0</v>
      </c>
      <c r="O14" s="30">
        <f>SUMPRODUCT((Май[№]=2)*Май[11],Май[Периодичность])</f>
        <v>0</v>
      </c>
      <c r="P14" s="30">
        <f>SUMPRODUCT((Май[№]=2)*Май[12],Май[Периодичность])</f>
        <v>0</v>
      </c>
      <c r="Q14" s="30">
        <f>SUMPRODUCT((Май[№]=2)*Май[13],Май[Периодичность])</f>
        <v>0</v>
      </c>
      <c r="R14" s="30">
        <f>SUMPRODUCT((Май[№]=2)*Май[14],Май[Периодичность])</f>
        <v>0</v>
      </c>
      <c r="S14" s="30">
        <f>SUMPRODUCT((Май[№]=2)*Май[15],Май[Периодичность])</f>
        <v>0</v>
      </c>
      <c r="T14" s="30">
        <f>SUMPRODUCT((Май[№]=2)*Май[16],Май[Периодичность])</f>
        <v>0</v>
      </c>
      <c r="U14" s="30">
        <f>SUMPRODUCT((Май[№]=2)*Май[17],Май[Периодичность])</f>
        <v>0</v>
      </c>
      <c r="V14" s="30">
        <f>SUMPRODUCT((Май[№]=2)*Май[18],Май[Периодичность])</f>
        <v>0</v>
      </c>
      <c r="W14" s="30">
        <f>SUMPRODUCT((Май[№]=2)*Май[19],Май[Периодичность])</f>
        <v>0</v>
      </c>
      <c r="X14" s="30">
        <f>SUMPRODUCT((Май[№]=2)*Май[20],Май[Периодичность])</f>
        <v>0</v>
      </c>
      <c r="Y14" s="30">
        <f>SUMPRODUCT((Май[№]=2)*Май[21],Май[Периодичность])</f>
        <v>0</v>
      </c>
      <c r="Z14" s="30">
        <f>SUMPRODUCT((Май[№]=2)*Май[22],Май[Периодичность])</f>
        <v>0</v>
      </c>
      <c r="AA14" s="30">
        <f>SUMPRODUCT((Май[№]=2)*Май[23],Май[Периодичность])</f>
        <v>0</v>
      </c>
      <c r="AB14" s="30">
        <f>SUMPRODUCT((Май[№]=2)*Май[24],Май[Периодичность])</f>
        <v>0</v>
      </c>
      <c r="AC14" s="30">
        <f>SUMPRODUCT((Май[№]=2)*Май[25],Май[Периодичность])</f>
        <v>0</v>
      </c>
      <c r="AD14" s="30">
        <f>SUMPRODUCT((Май[№]=2)*Май[26],Май[Периодичность])</f>
        <v>0</v>
      </c>
      <c r="AE14" s="30">
        <f>SUMPRODUCT((Май[№]=2)*Май[27],Май[Периодичность])</f>
        <v>0</v>
      </c>
      <c r="AF14" s="30">
        <f>SUMPRODUCT((Май[№]=2)*Май[28],Май[Периодичность])</f>
        <v>0</v>
      </c>
      <c r="AG14" s="30">
        <f>SUMPRODUCT((Май[№]=2)*Май[29],Май[Периодичность])</f>
        <v>0</v>
      </c>
      <c r="AH14" s="30">
        <f>SUMPRODUCT((Май[№]=2)*Май[30],Май[Периодичность])</f>
        <v>0</v>
      </c>
      <c r="AI14" s="30">
        <f>SUMPRODUCT((Май[№]=2)*Май[31],Май[Периодичность])</f>
        <v>0</v>
      </c>
      <c r="AL14" s="4"/>
    </row>
    <row r="15" spans="1:38" x14ac:dyDescent="0.25">
      <c r="B15" s="3">
        <f>SUMPRODUCT((Настройки!$E$25:$AI$25=3)*E16:AI16)</f>
        <v>0</v>
      </c>
      <c r="D15" s="5">
        <v>3</v>
      </c>
      <c r="E15" s="30">
        <f>SUMPRODUCT((Май[№]=3)*Май[1],Май[Периодичность])</f>
        <v>0</v>
      </c>
      <c r="F15" s="30">
        <f>SUMPRODUCT((Май[№]=3)*Май[2],Май[Периодичность])</f>
        <v>0</v>
      </c>
      <c r="G15" s="30">
        <f>SUMPRODUCT((Май[№]=3)*Май[3],Май[Периодичность])</f>
        <v>0</v>
      </c>
      <c r="H15" s="30">
        <f>SUMPRODUCT((Май[№]=3)*Май[4],Май[Периодичность])</f>
        <v>0</v>
      </c>
      <c r="I15" s="30">
        <f>SUMPRODUCT((Май[№]=3)*Май[5],Май[Периодичность])</f>
        <v>0</v>
      </c>
      <c r="J15" s="30">
        <f>SUMPRODUCT((Май[№]=3)*Май[6],Май[Периодичность])</f>
        <v>0</v>
      </c>
      <c r="K15" s="30">
        <f>SUMPRODUCT((Май[№]=3)*Май[7],Май[Периодичность])</f>
        <v>0</v>
      </c>
      <c r="L15" s="30">
        <f>SUMPRODUCT((Май[№]=3)*Май[8],Май[Периодичность])</f>
        <v>0</v>
      </c>
      <c r="M15" s="30">
        <f>SUMPRODUCT((Май[№]=3)*Май[9],Май[Периодичность])</f>
        <v>0</v>
      </c>
      <c r="N15" s="30">
        <f>SUMPRODUCT((Май[№]=3)*Май[10],Май[Периодичность])</f>
        <v>0</v>
      </c>
      <c r="O15" s="30">
        <f>SUMPRODUCT((Май[№]=3)*Май[11],Май[Периодичность])</f>
        <v>0</v>
      </c>
      <c r="P15" s="30">
        <f>SUMPRODUCT((Май[№]=3)*Май[12],Май[Периодичность])</f>
        <v>0</v>
      </c>
      <c r="Q15" s="30">
        <f>SUMPRODUCT((Май[№]=3)*Май[13],Май[Периодичность])</f>
        <v>0</v>
      </c>
      <c r="R15" s="30">
        <f>SUMPRODUCT((Май[№]=3)*Май[14],Май[Периодичность])</f>
        <v>0</v>
      </c>
      <c r="S15" s="30">
        <f>SUMPRODUCT((Май[№]=3)*Май[15],Май[Периодичность])</f>
        <v>0</v>
      </c>
      <c r="T15" s="30">
        <f>SUMPRODUCT((Май[№]=3)*Май[16],Май[Периодичность])</f>
        <v>0</v>
      </c>
      <c r="U15" s="30">
        <f>SUMPRODUCT((Май[№]=3)*Май[17],Май[Периодичность])</f>
        <v>0</v>
      </c>
      <c r="V15" s="30">
        <f>SUMPRODUCT((Май[№]=3)*Май[18],Май[Периодичность])</f>
        <v>0</v>
      </c>
      <c r="W15" s="30">
        <f>SUMPRODUCT((Май[№]=3)*Май[19],Май[Периодичность])</f>
        <v>0</v>
      </c>
      <c r="X15" s="30">
        <f>SUMPRODUCT((Май[№]=3)*Май[20],Май[Периодичность])</f>
        <v>0</v>
      </c>
      <c r="Y15" s="30">
        <f>SUMPRODUCT((Май[№]=3)*Май[21],Май[Периодичность])</f>
        <v>0</v>
      </c>
      <c r="Z15" s="30">
        <f>SUMPRODUCT((Май[№]=3)*Май[22],Май[Периодичность])</f>
        <v>0</v>
      </c>
      <c r="AA15" s="30">
        <f>SUMPRODUCT((Май[№]=3)*Май[23],Май[Периодичность])</f>
        <v>0</v>
      </c>
      <c r="AB15" s="30">
        <f>SUMPRODUCT((Май[№]=3)*Май[24],Май[Периодичность])</f>
        <v>0</v>
      </c>
      <c r="AC15" s="30">
        <f>SUMPRODUCT((Май[№]=3)*Май[25],Май[Периодичность])</f>
        <v>0</v>
      </c>
      <c r="AD15" s="30">
        <f>SUMPRODUCT((Май[№]=3)*Май[26],Май[Периодичность])</f>
        <v>0</v>
      </c>
      <c r="AE15" s="30">
        <f>SUMPRODUCT((Май[№]=3)*Май[27],Май[Периодичность])</f>
        <v>0</v>
      </c>
      <c r="AF15" s="30">
        <f>SUMPRODUCT((Май[№]=3)*Май[28],Май[Периодичность])</f>
        <v>0</v>
      </c>
      <c r="AG15" s="30">
        <f>SUMPRODUCT((Май[№]=3)*Май[29],Май[Периодичность])</f>
        <v>0</v>
      </c>
      <c r="AH15" s="30">
        <f>SUMPRODUCT((Май[№]=3)*Май[30],Май[Периодичность])</f>
        <v>0</v>
      </c>
      <c r="AI15" s="30">
        <f>SUMPRODUCT((Май[№]=3)*Май[31],Май[Периодичность])</f>
        <v>0</v>
      </c>
      <c r="AK15" s="11"/>
    </row>
    <row r="16" spans="1:38" ht="22.5" customHeight="1" x14ac:dyDescent="0.25">
      <c r="B16" s="3">
        <f>SUMPRODUCT((Настройки!$E$25:$AI$25=4)*E16:AI16)</f>
        <v>0</v>
      </c>
      <c r="D16" s="5"/>
      <c r="E16" s="30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I16" s="30">
        <f>SUM(AI13:AI15)</f>
        <v>0</v>
      </c>
      <c r="AK16" s="11"/>
    </row>
    <row r="17" spans="1:37" ht="22.5" customHeight="1" x14ac:dyDescent="0.25">
      <c r="B17" s="3">
        <f>SUMPRODUCT((Настройки!$E$25:$AI$25=5)*E16:AI16)</f>
        <v>0</v>
      </c>
      <c r="C17" s="5">
        <f>МайИтоги[[#This Row],[№]]*60</f>
        <v>0</v>
      </c>
      <c r="D17" s="7">
        <f>SUM(МайИтоги[[#This Row],[1]:[31]])</f>
        <v>0</v>
      </c>
      <c r="E17" s="31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31">
        <f>AI16/60</f>
        <v>0</v>
      </c>
      <c r="AJ17" s="3">
        <f ca="1">SUM(Май[УСЛУГ])</f>
        <v>0</v>
      </c>
      <c r="AK17" s="11">
        <f ca="1">SUM(Май[МИНУТ])</f>
        <v>0</v>
      </c>
    </row>
    <row r="18" spans="1:37" ht="20.25" customHeight="1" x14ac:dyDescent="0.25"/>
    <row r="19" spans="1:37" ht="22.5" customHeight="1" x14ac:dyDescent="0.25">
      <c r="A19" s="49" t="s">
        <v>52</v>
      </c>
      <c r="B19" s="49" t="s">
        <v>53</v>
      </c>
      <c r="C19" s="50"/>
      <c r="D19" s="51" t="s">
        <v>67</v>
      </c>
      <c r="E19" s="43" t="s">
        <v>55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5"/>
      <c r="AJ19" s="39" t="s">
        <v>70</v>
      </c>
      <c r="AK19" s="40" t="s">
        <v>70</v>
      </c>
    </row>
    <row r="20" spans="1:37" ht="18" customHeight="1" x14ac:dyDescent="0.25">
      <c r="A20" s="49"/>
      <c r="B20" s="49"/>
      <c r="C20" s="50"/>
      <c r="D20" s="52"/>
      <c r="E20" s="53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5"/>
      <c r="AJ20" s="39"/>
      <c r="AK20" s="41"/>
    </row>
    <row r="21" spans="1:37" ht="21.75" customHeight="1" x14ac:dyDescent="0.25">
      <c r="A21" s="49"/>
      <c r="B21" s="49"/>
      <c r="C21" s="50"/>
      <c r="D21" s="52"/>
      <c r="E21" s="26">
        <f>Настройки!E11</f>
        <v>45047</v>
      </c>
      <c r="F21" s="26">
        <f>Настройки!F11</f>
        <v>45048</v>
      </c>
      <c r="G21" s="26">
        <f>Настройки!G11</f>
        <v>45049</v>
      </c>
      <c r="H21" s="26">
        <f>Настройки!H11</f>
        <v>45050</v>
      </c>
      <c r="I21" s="26">
        <f>Настройки!I11</f>
        <v>45051</v>
      </c>
      <c r="J21" s="26">
        <f>Настройки!J11</f>
        <v>45052</v>
      </c>
      <c r="K21" s="26">
        <f>Настройки!K11</f>
        <v>45053</v>
      </c>
      <c r="L21" s="26">
        <f>Настройки!L11</f>
        <v>45054</v>
      </c>
      <c r="M21" s="26">
        <f>Настройки!M11</f>
        <v>45055</v>
      </c>
      <c r="N21" s="26">
        <f>Настройки!N11</f>
        <v>45056</v>
      </c>
      <c r="O21" s="26">
        <f>Настройки!O11</f>
        <v>45057</v>
      </c>
      <c r="P21" s="26">
        <f>Настройки!P11</f>
        <v>45058</v>
      </c>
      <c r="Q21" s="26">
        <f>Настройки!Q11</f>
        <v>45059</v>
      </c>
      <c r="R21" s="26">
        <f>Настройки!R11</f>
        <v>45060</v>
      </c>
      <c r="S21" s="26">
        <f>Настройки!S11</f>
        <v>45061</v>
      </c>
      <c r="T21" s="26">
        <f>Настройки!T11</f>
        <v>45062</v>
      </c>
      <c r="U21" s="26">
        <f>Настройки!U11</f>
        <v>45063</v>
      </c>
      <c r="V21" s="26">
        <f>Настройки!V11</f>
        <v>45064</v>
      </c>
      <c r="W21" s="26">
        <f>Настройки!W11</f>
        <v>45065</v>
      </c>
      <c r="X21" s="26">
        <f>Настройки!X11</f>
        <v>45066</v>
      </c>
      <c r="Y21" s="26">
        <f>Настройки!Y11</f>
        <v>45067</v>
      </c>
      <c r="Z21" s="26">
        <f>Настройки!Z11</f>
        <v>45068</v>
      </c>
      <c r="AA21" s="26">
        <f>Настройки!AA11</f>
        <v>45069</v>
      </c>
      <c r="AB21" s="26">
        <f>Настройки!AB11</f>
        <v>45070</v>
      </c>
      <c r="AC21" s="26">
        <f>Настройки!AC11</f>
        <v>45071</v>
      </c>
      <c r="AD21" s="26">
        <f>Настройки!AD11</f>
        <v>45072</v>
      </c>
      <c r="AE21" s="26">
        <f>Настройки!AE11</f>
        <v>45073</v>
      </c>
      <c r="AF21" s="26">
        <f>Настройки!AF11</f>
        <v>45074</v>
      </c>
      <c r="AG21" s="26">
        <f>Настройки!AG11</f>
        <v>45075</v>
      </c>
      <c r="AH21" s="26">
        <f>Настройки!AH11</f>
        <v>45076</v>
      </c>
      <c r="AI21" s="26">
        <f>Настройки!AI11</f>
        <v>45077</v>
      </c>
      <c r="AJ21" s="39"/>
      <c r="AK21" s="41"/>
    </row>
    <row r="22" spans="1:37" x14ac:dyDescent="0.25">
      <c r="A22" s="49"/>
      <c r="B22" s="49"/>
      <c r="C22" s="50"/>
      <c r="D22" s="52"/>
      <c r="E22" s="49" t="s">
        <v>54</v>
      </c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56"/>
      <c r="AJ22" s="39"/>
      <c r="AK22" s="41"/>
    </row>
    <row r="23" spans="1:37" x14ac:dyDescent="0.25">
      <c r="A23" s="49"/>
      <c r="B23" s="49"/>
      <c r="C23" s="50"/>
      <c r="D23" s="52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56"/>
      <c r="AJ23" s="39"/>
      <c r="AK23" s="42"/>
    </row>
    <row r="24" spans="1:37" ht="23.25" customHeight="1" x14ac:dyDescent="0.25">
      <c r="A24" s="3" t="s">
        <v>65</v>
      </c>
      <c r="B24" s="2" t="s">
        <v>63</v>
      </c>
      <c r="C24" s="3" t="s">
        <v>64</v>
      </c>
      <c r="D24" s="9" t="s">
        <v>66</v>
      </c>
      <c r="E24" s="3" t="s">
        <v>89</v>
      </c>
      <c r="F24" s="3" t="s">
        <v>90</v>
      </c>
      <c r="G24" s="3" t="s">
        <v>91</v>
      </c>
      <c r="H24" s="3" t="s">
        <v>92</v>
      </c>
      <c r="I24" s="3" t="s">
        <v>93</v>
      </c>
      <c r="J24" s="3" t="s">
        <v>94</v>
      </c>
      <c r="K24" s="3" t="s">
        <v>95</v>
      </c>
      <c r="L24" s="3" t="s">
        <v>96</v>
      </c>
      <c r="M24" s="3" t="s">
        <v>97</v>
      </c>
      <c r="N24" s="3" t="s">
        <v>98</v>
      </c>
      <c r="O24" s="3" t="s">
        <v>99</v>
      </c>
      <c r="P24" s="3" t="s">
        <v>100</v>
      </c>
      <c r="Q24" s="3" t="s">
        <v>101</v>
      </c>
      <c r="R24" s="3" t="s">
        <v>102</v>
      </c>
      <c r="S24" s="3" t="s">
        <v>103</v>
      </c>
      <c r="T24" s="3" t="s">
        <v>104</v>
      </c>
      <c r="U24" s="3" t="s">
        <v>105</v>
      </c>
      <c r="V24" s="3" t="s">
        <v>106</v>
      </c>
      <c r="W24" s="3" t="s">
        <v>107</v>
      </c>
      <c r="X24" s="3" t="s">
        <v>108</v>
      </c>
      <c r="Y24" s="3" t="s">
        <v>109</v>
      </c>
      <c r="Z24" s="3" t="s">
        <v>110</v>
      </c>
      <c r="AA24" s="3" t="s">
        <v>111</v>
      </c>
      <c r="AB24" s="3" t="s">
        <v>112</v>
      </c>
      <c r="AC24" s="3" t="s">
        <v>113</v>
      </c>
      <c r="AD24" s="3" t="s">
        <v>114</v>
      </c>
      <c r="AE24" s="3" t="s">
        <v>115</v>
      </c>
      <c r="AF24" s="3" t="s">
        <v>116</v>
      </c>
      <c r="AG24" s="3" t="s">
        <v>117</v>
      </c>
      <c r="AH24" s="3" t="s">
        <v>118</v>
      </c>
      <c r="AI24" s="3" t="s">
        <v>127</v>
      </c>
      <c r="AJ24" s="3" t="s">
        <v>68</v>
      </c>
      <c r="AK24" s="3" t="s">
        <v>69</v>
      </c>
    </row>
    <row r="25" spans="1:37" ht="31.5" x14ac:dyDescent="0.25">
      <c r="A25" s="16" t="s">
        <v>1</v>
      </c>
      <c r="B25" s="2" t="s">
        <v>56</v>
      </c>
      <c r="C25" s="8">
        <v>60</v>
      </c>
      <c r="D25" s="11">
        <v>1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5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25" s="5">
        <f ca="1">IF(Май[[#This Row],[УСЛУГ]]&lt;&gt;"",Май[[#This Row],[УСЛУГ]]*Май[[#This Row],[Периодичность]],"")</f>
        <v>0</v>
      </c>
    </row>
    <row r="26" spans="1:37" x14ac:dyDescent="0.25">
      <c r="A26" s="16"/>
      <c r="B26" s="2"/>
      <c r="C26" s="8">
        <v>60</v>
      </c>
      <c r="D26" s="11">
        <v>2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5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26" s="5" t="str">
        <f ca="1">IF(Май[[#This Row],[УСЛУГ]]&lt;&gt;"",Май[[#This Row],[УСЛУГ]]*Май[[#This Row],[Периодичность]],"")</f>
        <v/>
      </c>
    </row>
    <row r="27" spans="1:37" x14ac:dyDescent="0.25">
      <c r="A27" s="16"/>
      <c r="B27" s="2"/>
      <c r="C27" s="8">
        <v>60</v>
      </c>
      <c r="D27" s="11">
        <v>3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5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27" s="5" t="str">
        <f ca="1">IF(Май[[#This Row],[УСЛУГ]]&lt;&gt;"",Май[[#This Row],[УСЛУГ]]*Май[[#This Row],[Периодичность]],"")</f>
        <v/>
      </c>
    </row>
    <row r="28" spans="1:37" ht="31.5" x14ac:dyDescent="0.25">
      <c r="A28" s="16" t="s">
        <v>3</v>
      </c>
      <c r="B28" s="2" t="s">
        <v>58</v>
      </c>
      <c r="C28" s="8">
        <v>10</v>
      </c>
      <c r="D28" s="11">
        <v>1</v>
      </c>
      <c r="E28" s="18"/>
      <c r="F28" s="18"/>
      <c r="G28" s="18"/>
      <c r="H28" s="18"/>
      <c r="I28" s="18"/>
      <c r="J28" s="18"/>
      <c r="K28" s="10"/>
      <c r="L28" s="10"/>
      <c r="M28" s="10"/>
      <c r="N28" s="10"/>
      <c r="O28" s="10"/>
      <c r="P28" s="18"/>
      <c r="Q28" s="18"/>
      <c r="R28" s="10"/>
      <c r="S28" s="10"/>
      <c r="T28" s="10"/>
      <c r="U28" s="10"/>
      <c r="V28" s="10"/>
      <c r="W28" s="18"/>
      <c r="X28" s="18"/>
      <c r="Y28" s="10"/>
      <c r="Z28" s="10"/>
      <c r="AA28" s="10"/>
      <c r="AB28" s="10"/>
      <c r="AC28" s="10"/>
      <c r="AD28" s="18"/>
      <c r="AE28" s="18"/>
      <c r="AF28" s="18"/>
      <c r="AG28" s="18"/>
      <c r="AH28" s="18"/>
      <c r="AI28" s="20"/>
      <c r="AJ28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28" s="29">
        <f ca="1">IF(Май[[#This Row],[УСЛУГ]]&lt;&gt;"",Май[[#This Row],[УСЛУГ]]*Май[[#This Row],[Периодичность]],"")</f>
        <v>0</v>
      </c>
    </row>
    <row r="29" spans="1:37" ht="18.75" x14ac:dyDescent="0.25">
      <c r="A29" s="16"/>
      <c r="B29" s="2"/>
      <c r="C29" s="8">
        <v>10</v>
      </c>
      <c r="D29" s="11">
        <v>2</v>
      </c>
      <c r="E29" s="18"/>
      <c r="F29" s="18"/>
      <c r="G29" s="18"/>
      <c r="H29" s="18"/>
      <c r="I29" s="18"/>
      <c r="J29" s="18"/>
      <c r="K29" s="10"/>
      <c r="L29" s="10"/>
      <c r="M29" s="10"/>
      <c r="N29" s="10"/>
      <c r="O29" s="10"/>
      <c r="P29" s="18"/>
      <c r="Q29" s="18"/>
      <c r="R29" s="10"/>
      <c r="S29" s="10"/>
      <c r="T29" s="10"/>
      <c r="U29" s="10"/>
      <c r="V29" s="10"/>
      <c r="W29" s="18"/>
      <c r="X29" s="18"/>
      <c r="Y29" s="10"/>
      <c r="Z29" s="10"/>
      <c r="AA29" s="10"/>
      <c r="AB29" s="10"/>
      <c r="AC29" s="10"/>
      <c r="AD29" s="18"/>
      <c r="AE29" s="18"/>
      <c r="AF29" s="18"/>
      <c r="AG29" s="18"/>
      <c r="AH29" s="18"/>
      <c r="AI29" s="20"/>
      <c r="AJ29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29" s="29" t="str">
        <f ca="1">IF(Май[[#This Row],[УСЛУГ]]&lt;&gt;"",Май[[#This Row],[УСЛУГ]]*Май[[#This Row],[Периодичность]],"")</f>
        <v/>
      </c>
    </row>
    <row r="30" spans="1:37" x14ac:dyDescent="0.25">
      <c r="A30" s="16"/>
      <c r="B30" s="2"/>
      <c r="C30" s="8">
        <v>10</v>
      </c>
      <c r="D30" s="11">
        <v>3</v>
      </c>
      <c r="E30" s="18"/>
      <c r="F30" s="18"/>
      <c r="G30" s="18"/>
      <c r="H30" s="18"/>
      <c r="I30" s="18"/>
      <c r="J30" s="18"/>
      <c r="K30" s="10"/>
      <c r="L30" s="10"/>
      <c r="M30" s="10"/>
      <c r="N30" s="10"/>
      <c r="O30" s="10"/>
      <c r="P30" s="18"/>
      <c r="Q30" s="18"/>
      <c r="R30" s="10"/>
      <c r="S30" s="10"/>
      <c r="T30" s="10"/>
      <c r="U30" s="10"/>
      <c r="V30" s="10"/>
      <c r="W30" s="18"/>
      <c r="X30" s="18"/>
      <c r="Y30" s="10"/>
      <c r="Z30" s="10"/>
      <c r="AA30" s="10"/>
      <c r="AB30" s="10"/>
      <c r="AC30" s="10"/>
      <c r="AD30" s="18"/>
      <c r="AE30" s="18"/>
      <c r="AF30" s="18"/>
      <c r="AG30" s="18"/>
      <c r="AH30" s="18"/>
      <c r="AI30" s="19"/>
      <c r="AJ30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30" s="29" t="str">
        <f ca="1">IF(Май[[#This Row],[УСЛУГ]]&lt;&gt;"",Май[[#This Row],[УСЛУГ]]*Май[[#This Row],[Периодичность]],"")</f>
        <v/>
      </c>
    </row>
    <row r="31" spans="1:37" x14ac:dyDescent="0.25">
      <c r="A31" s="16" t="s">
        <v>5</v>
      </c>
      <c r="B31" s="2" t="s">
        <v>58</v>
      </c>
      <c r="C31" s="8">
        <v>30</v>
      </c>
      <c r="D31" s="11">
        <v>1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31" s="29">
        <f ca="1">IF(Май[[#This Row],[УСЛУГ]]&lt;&gt;"",Май[[#This Row],[УСЛУГ]]*Май[[#This Row],[Периодичность]],"")</f>
        <v>0</v>
      </c>
    </row>
    <row r="32" spans="1:37" x14ac:dyDescent="0.25">
      <c r="A32" s="16"/>
      <c r="B32" s="2"/>
      <c r="C32" s="8">
        <v>30</v>
      </c>
      <c r="D32" s="11">
        <v>2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32" s="29" t="str">
        <f ca="1">IF(Май[[#This Row],[УСЛУГ]]&lt;&gt;"",Май[[#This Row],[УСЛУГ]]*Май[[#This Row],[Периодичность]],"")</f>
        <v/>
      </c>
    </row>
    <row r="33" spans="1:37" x14ac:dyDescent="0.25">
      <c r="A33" s="16"/>
      <c r="B33" s="2"/>
      <c r="C33" s="8">
        <v>30</v>
      </c>
      <c r="D33" s="11">
        <v>3</v>
      </c>
      <c r="E33" s="18"/>
      <c r="F33" s="18"/>
      <c r="G33" s="18"/>
      <c r="H33" s="18"/>
      <c r="I33" s="18"/>
      <c r="J33" s="18"/>
      <c r="K33" s="10"/>
      <c r="L33" s="10"/>
      <c r="M33" s="10"/>
      <c r="N33" s="10"/>
      <c r="O33" s="10"/>
      <c r="P33" s="18"/>
      <c r="Q33" s="18"/>
      <c r="R33" s="10"/>
      <c r="S33" s="10"/>
      <c r="T33" s="10"/>
      <c r="U33" s="10"/>
      <c r="V33" s="10"/>
      <c r="W33" s="18"/>
      <c r="X33" s="18"/>
      <c r="Y33" s="10"/>
      <c r="Z33" s="10"/>
      <c r="AA33" s="10"/>
      <c r="AB33" s="10"/>
      <c r="AC33" s="10"/>
      <c r="AD33" s="18"/>
      <c r="AE33" s="18"/>
      <c r="AF33" s="18"/>
      <c r="AG33" s="18"/>
      <c r="AH33" s="18"/>
      <c r="AI33" s="19"/>
      <c r="AJ33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33" s="29" t="str">
        <f ca="1">IF(Май[[#This Row],[УСЛУГ]]&lt;&gt;"",Май[[#This Row],[УСЛУГ]]*Май[[#This Row],[Периодичность]],"")</f>
        <v/>
      </c>
    </row>
    <row r="34" spans="1:37" ht="47.25" x14ac:dyDescent="0.25">
      <c r="A34" s="16" t="s">
        <v>85</v>
      </c>
      <c r="B34" s="2" t="s">
        <v>58</v>
      </c>
      <c r="C34" s="8">
        <v>3</v>
      </c>
      <c r="D34" s="11">
        <v>1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20"/>
      <c r="AJ34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34" s="29">
        <f ca="1">IF(Май[[#This Row],[УСЛУГ]]&lt;&gt;"",Май[[#This Row],[УСЛУГ]]*Май[[#This Row],[Периодичность]],"")</f>
        <v>0</v>
      </c>
    </row>
    <row r="35" spans="1:37" ht="18.75" x14ac:dyDescent="0.25">
      <c r="A35" s="16"/>
      <c r="B35" s="2"/>
      <c r="C35" s="8">
        <v>3</v>
      </c>
      <c r="D35" s="11">
        <v>2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20"/>
      <c r="AJ35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35" s="29" t="str">
        <f ca="1">IF(Май[[#This Row],[УСЛУГ]]&lt;&gt;"",Май[[#This Row],[УСЛУГ]]*Май[[#This Row],[Периодичность]],"")</f>
        <v/>
      </c>
    </row>
    <row r="36" spans="1:37" ht="18.75" x14ac:dyDescent="0.25">
      <c r="A36" s="16"/>
      <c r="B36" s="2"/>
      <c r="C36" s="8">
        <v>3</v>
      </c>
      <c r="D36" s="11">
        <v>3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20"/>
      <c r="AJ36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36" s="29" t="str">
        <f ca="1">IF(Май[[#This Row],[УСЛУГ]]&lt;&gt;"",Май[[#This Row],[УСЛУГ]]*Май[[#This Row],[Периодичность]],"")</f>
        <v/>
      </c>
    </row>
    <row r="37" spans="1:37" ht="18.75" x14ac:dyDescent="0.25">
      <c r="A37" s="16" t="s">
        <v>8</v>
      </c>
      <c r="B37" s="2" t="s">
        <v>59</v>
      </c>
      <c r="C37" s="8">
        <v>15</v>
      </c>
      <c r="D37" s="11">
        <v>1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20"/>
      <c r="AJ37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37" s="29">
        <f ca="1">IF(Май[[#This Row],[УСЛУГ]]&lt;&gt;"",Май[[#This Row],[УСЛУГ]]*Май[[#This Row],[Периодичность]],"")</f>
        <v>0</v>
      </c>
    </row>
    <row r="38" spans="1:37" ht="18.75" x14ac:dyDescent="0.25">
      <c r="A38" s="16"/>
      <c r="B38" s="2"/>
      <c r="C38" s="8">
        <v>15</v>
      </c>
      <c r="D38" s="11">
        <v>2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0"/>
      <c r="AJ38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38" s="29" t="str">
        <f ca="1">IF(Май[[#This Row],[УСЛУГ]]&lt;&gt;"",Май[[#This Row],[УСЛУГ]]*Май[[#This Row],[Периодичность]],"")</f>
        <v/>
      </c>
    </row>
    <row r="39" spans="1:37" ht="18.75" x14ac:dyDescent="0.25">
      <c r="A39" s="16"/>
      <c r="B39" s="2"/>
      <c r="C39" s="8">
        <v>15</v>
      </c>
      <c r="D39" s="11">
        <v>3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20"/>
      <c r="AJ39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39" s="29" t="str">
        <f ca="1">IF(Май[[#This Row],[УСЛУГ]]&lt;&gt;"",Май[[#This Row],[УСЛУГ]]*Май[[#This Row],[Периодичность]],"")</f>
        <v/>
      </c>
    </row>
    <row r="40" spans="1:37" ht="47.25" x14ac:dyDescent="0.25">
      <c r="A40" s="16" t="s">
        <v>84</v>
      </c>
      <c r="B40" s="2" t="s">
        <v>61</v>
      </c>
      <c r="C40" s="8">
        <v>49</v>
      </c>
      <c r="D40" s="11">
        <v>1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20"/>
      <c r="AJ40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40" s="29">
        <f ca="1">IF(Май[[#This Row],[УСЛУГ]]&lt;&gt;"",Май[[#This Row],[УСЛУГ]]*Май[[#This Row],[Периодичность]],"")</f>
        <v>0</v>
      </c>
    </row>
    <row r="41" spans="1:37" ht="18.75" x14ac:dyDescent="0.25">
      <c r="A41" s="16"/>
      <c r="B41" s="2"/>
      <c r="C41" s="8">
        <v>49</v>
      </c>
      <c r="D41" s="11">
        <v>2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20"/>
      <c r="AJ41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41" s="29" t="str">
        <f ca="1">IF(Май[[#This Row],[УСЛУГ]]&lt;&gt;"",Май[[#This Row],[УСЛУГ]]*Май[[#This Row],[Периодичность]],"")</f>
        <v/>
      </c>
    </row>
    <row r="42" spans="1:37" ht="18.75" x14ac:dyDescent="0.25">
      <c r="A42" s="16"/>
      <c r="B42" s="2"/>
      <c r="C42" s="8">
        <v>49</v>
      </c>
      <c r="D42" s="11">
        <v>3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20"/>
      <c r="AJ42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42" s="29" t="str">
        <f ca="1">IF(Май[[#This Row],[УСЛУГ]]&lt;&gt;"",Май[[#This Row],[УСЛУГ]]*Май[[#This Row],[Периодичность]],"")</f>
        <v/>
      </c>
    </row>
    <row r="43" spans="1:37" ht="31.5" x14ac:dyDescent="0.25">
      <c r="A43" s="16" t="s">
        <v>13</v>
      </c>
      <c r="B43" s="2" t="s">
        <v>59</v>
      </c>
      <c r="C43" s="8">
        <v>12</v>
      </c>
      <c r="D43" s="11">
        <v>1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43" s="29">
        <f ca="1">IF(Май[[#This Row],[УСЛУГ]]&lt;&gt;"",Май[[#This Row],[УСЛУГ]]*Май[[#This Row],[Периодичность]],"")</f>
        <v>0</v>
      </c>
    </row>
    <row r="44" spans="1:37" ht="18.75" x14ac:dyDescent="0.25">
      <c r="A44" s="16"/>
      <c r="B44" s="2"/>
      <c r="C44" s="8">
        <v>12</v>
      </c>
      <c r="D44" s="11">
        <v>2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20"/>
      <c r="AJ44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44" s="29" t="str">
        <f ca="1">IF(Май[[#This Row],[УСЛУГ]]&lt;&gt;"",Май[[#This Row],[УСЛУГ]]*Май[[#This Row],[Периодичность]],"")</f>
        <v/>
      </c>
    </row>
    <row r="45" spans="1:37" x14ac:dyDescent="0.25">
      <c r="A45" s="16"/>
      <c r="B45" s="2"/>
      <c r="C45" s="8">
        <v>12</v>
      </c>
      <c r="D45" s="11">
        <v>3</v>
      </c>
      <c r="E45" s="18"/>
      <c r="F45" s="18"/>
      <c r="G45" s="18"/>
      <c r="H45" s="18"/>
      <c r="I45" s="18"/>
      <c r="J45" s="18"/>
      <c r="K45" s="10"/>
      <c r="L45" s="10"/>
      <c r="M45" s="10"/>
      <c r="N45" s="10"/>
      <c r="O45" s="10"/>
      <c r="P45" s="18"/>
      <c r="Q45" s="18"/>
      <c r="R45" s="10"/>
      <c r="S45" s="10"/>
      <c r="T45" s="10"/>
      <c r="U45" s="10"/>
      <c r="V45" s="10"/>
      <c r="W45" s="18"/>
      <c r="X45" s="18"/>
      <c r="Y45" s="10"/>
      <c r="Z45" s="10"/>
      <c r="AA45" s="10"/>
      <c r="AB45" s="10"/>
      <c r="AC45" s="10"/>
      <c r="AD45" s="18"/>
      <c r="AE45" s="18"/>
      <c r="AF45" s="18"/>
      <c r="AG45" s="18"/>
      <c r="AH45" s="18"/>
      <c r="AI45" s="19"/>
      <c r="AJ45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45" s="29" t="str">
        <f ca="1">IF(Май[[#This Row],[УСЛУГ]]&lt;&gt;"",Май[[#This Row],[УСЛУГ]]*Май[[#This Row],[Периодичность]],"")</f>
        <v/>
      </c>
    </row>
    <row r="46" spans="1:37" ht="18.75" x14ac:dyDescent="0.25">
      <c r="A46" s="16" t="s">
        <v>16</v>
      </c>
      <c r="B46" s="2" t="s">
        <v>59</v>
      </c>
      <c r="C46" s="8">
        <v>15</v>
      </c>
      <c r="D46" s="11">
        <v>1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20"/>
      <c r="AJ46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46" s="29">
        <f ca="1">IF(Май[[#This Row],[УСЛУГ]]&lt;&gt;"",Май[[#This Row],[УСЛУГ]]*Май[[#This Row],[Периодичность]],"")</f>
        <v>0</v>
      </c>
    </row>
    <row r="47" spans="1:37" ht="18.75" x14ac:dyDescent="0.25">
      <c r="A47" s="16"/>
      <c r="B47" s="2"/>
      <c r="C47" s="8">
        <v>15</v>
      </c>
      <c r="D47" s="11">
        <v>2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20"/>
      <c r="AJ47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47" s="29" t="str">
        <f ca="1">IF(Май[[#This Row],[УСЛУГ]]&lt;&gt;"",Май[[#This Row],[УСЛУГ]]*Май[[#This Row],[Периодичность]],"")</f>
        <v/>
      </c>
    </row>
    <row r="48" spans="1:37" ht="18.75" x14ac:dyDescent="0.25">
      <c r="A48" s="16"/>
      <c r="B48" s="2"/>
      <c r="C48" s="8">
        <v>15</v>
      </c>
      <c r="D48" s="11">
        <v>3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20"/>
      <c r="AJ48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48" s="29" t="str">
        <f ca="1">IF(Май[[#This Row],[УСЛУГ]]&lt;&gt;"",Май[[#This Row],[УСЛУГ]]*Май[[#This Row],[Периодичность]],"")</f>
        <v/>
      </c>
    </row>
    <row r="49" spans="1:37" ht="31.5" x14ac:dyDescent="0.25">
      <c r="A49" s="16" t="s">
        <v>25</v>
      </c>
      <c r="B49" s="2" t="s">
        <v>59</v>
      </c>
      <c r="C49" s="8">
        <v>10</v>
      </c>
      <c r="D49" s="11">
        <v>1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49" s="29">
        <f ca="1">IF(Май[[#This Row],[УСЛУГ]]&lt;&gt;"",Май[[#This Row],[УСЛУГ]]*Май[[#This Row],[Периодичность]],"")</f>
        <v>0</v>
      </c>
    </row>
    <row r="50" spans="1:37" x14ac:dyDescent="0.25">
      <c r="A50" s="16"/>
      <c r="B50" s="2"/>
      <c r="C50" s="8">
        <v>10</v>
      </c>
      <c r="D50" s="11">
        <v>2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50" s="29" t="str">
        <f ca="1">IF(Май[[#This Row],[УСЛУГ]]&lt;&gt;"",Май[[#This Row],[УСЛУГ]]*Май[[#This Row],[Периодичность]],"")</f>
        <v/>
      </c>
    </row>
    <row r="51" spans="1:37" ht="18.75" x14ac:dyDescent="0.25">
      <c r="A51" s="16"/>
      <c r="B51" s="2"/>
      <c r="C51" s="8">
        <v>10</v>
      </c>
      <c r="D51" s="11">
        <v>3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20"/>
      <c r="AJ51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51" s="29" t="str">
        <f ca="1">IF(Май[[#This Row],[УСЛУГ]]&lt;&gt;"",Май[[#This Row],[УСЛУГ]]*Май[[#This Row],[Периодичность]],"")</f>
        <v/>
      </c>
    </row>
    <row r="52" spans="1:37" ht="31.5" x14ac:dyDescent="0.25">
      <c r="A52" s="16" t="s">
        <v>27</v>
      </c>
      <c r="B52" s="2" t="s">
        <v>59</v>
      </c>
      <c r="C52" s="8">
        <v>15</v>
      </c>
      <c r="D52" s="11">
        <v>1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20"/>
      <c r="AJ52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52" s="29">
        <f ca="1">IF(Май[[#This Row],[УСЛУГ]]&lt;&gt;"",Май[[#This Row],[УСЛУГ]]*Май[[#This Row],[Периодичность]],"")</f>
        <v>0</v>
      </c>
    </row>
    <row r="53" spans="1:37" ht="18.75" x14ac:dyDescent="0.25">
      <c r="A53" s="16"/>
      <c r="B53" s="2"/>
      <c r="C53" s="8">
        <v>15</v>
      </c>
      <c r="D53" s="11">
        <v>2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20"/>
      <c r="AJ53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53" s="29" t="str">
        <f ca="1">IF(Май[[#This Row],[УСЛУГ]]&lt;&gt;"",Май[[#This Row],[УСЛУГ]]*Май[[#This Row],[Периодичность]],"")</f>
        <v/>
      </c>
    </row>
    <row r="54" spans="1:37" ht="18.75" x14ac:dyDescent="0.25">
      <c r="A54" s="16"/>
      <c r="B54" s="2"/>
      <c r="C54" s="8">
        <v>15</v>
      </c>
      <c r="D54" s="11">
        <v>3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20"/>
      <c r="AJ54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54" s="29" t="str">
        <f ca="1">IF(Май[[#This Row],[УСЛУГ]]&lt;&gt;"",Май[[#This Row],[УСЛУГ]]*Май[[#This Row],[Периодичность]],"")</f>
        <v/>
      </c>
    </row>
    <row r="55" spans="1:37" ht="31.5" x14ac:dyDescent="0.25">
      <c r="A55" s="16" t="s">
        <v>29</v>
      </c>
      <c r="B55" s="2" t="s">
        <v>61</v>
      </c>
      <c r="C55" s="8">
        <v>15</v>
      </c>
      <c r="D55" s="11">
        <v>1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20"/>
      <c r="AJ55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55" s="29">
        <f ca="1">IF(Май[[#This Row],[УСЛУГ]]&lt;&gt;"",Май[[#This Row],[УСЛУГ]]*Май[[#This Row],[Периодичность]],"")</f>
        <v>0</v>
      </c>
    </row>
    <row r="56" spans="1:37" ht="18.75" x14ac:dyDescent="0.25">
      <c r="A56" s="16"/>
      <c r="B56" s="2"/>
      <c r="C56" s="8">
        <v>15</v>
      </c>
      <c r="D56" s="11">
        <v>2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20"/>
      <c r="AJ56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56" s="29" t="str">
        <f ca="1">IF(Май[[#This Row],[УСЛУГ]]&lt;&gt;"",Май[[#This Row],[УСЛУГ]]*Май[[#This Row],[Периодичность]],"")</f>
        <v/>
      </c>
    </row>
    <row r="57" spans="1:37" ht="18.75" x14ac:dyDescent="0.25">
      <c r="A57" s="16"/>
      <c r="B57" s="2"/>
      <c r="C57" s="8">
        <v>15</v>
      </c>
      <c r="D57" s="11">
        <v>3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20"/>
      <c r="AJ57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57" s="29" t="str">
        <f ca="1">IF(Май[[#This Row],[УСЛУГ]]&lt;&gt;"",Май[[#This Row],[УСЛУГ]]*Май[[#This Row],[Периодичность]],"")</f>
        <v/>
      </c>
    </row>
    <row r="58" spans="1:37" ht="47.25" x14ac:dyDescent="0.25">
      <c r="A58" s="16" t="s">
        <v>83</v>
      </c>
      <c r="B58" s="2" t="s">
        <v>58</v>
      </c>
      <c r="C58" s="8">
        <v>10</v>
      </c>
      <c r="D58" s="11">
        <v>1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20"/>
      <c r="AJ58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58" s="29">
        <f ca="1">IF(Май[[#This Row],[УСЛУГ]]&lt;&gt;"",Май[[#This Row],[УСЛУГ]]*Май[[#This Row],[Периодичность]],"")</f>
        <v>0</v>
      </c>
    </row>
    <row r="59" spans="1:37" ht="18.75" x14ac:dyDescent="0.25">
      <c r="A59" s="16"/>
      <c r="B59" s="2"/>
      <c r="C59" s="8">
        <v>10</v>
      </c>
      <c r="D59" s="11">
        <v>2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20"/>
      <c r="AJ59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59" s="29" t="str">
        <f ca="1">IF(Май[[#This Row],[УСЛУГ]]&lt;&gt;"",Май[[#This Row],[УСЛУГ]]*Май[[#This Row],[Периодичность]],"")</f>
        <v/>
      </c>
    </row>
    <row r="60" spans="1:37" ht="18.75" x14ac:dyDescent="0.25">
      <c r="A60" s="16"/>
      <c r="B60" s="2"/>
      <c r="C60" s="8">
        <v>10</v>
      </c>
      <c r="D60" s="11">
        <v>3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20"/>
      <c r="AJ60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60" s="29" t="str">
        <f ca="1">IF(Май[[#This Row],[УСЛУГ]]&lt;&gt;"",Май[[#This Row],[УСЛУГ]]*Май[[#This Row],[Периодичность]],"")</f>
        <v/>
      </c>
    </row>
    <row r="61" spans="1:37" ht="47.25" x14ac:dyDescent="0.25">
      <c r="A61" s="16" t="s">
        <v>82</v>
      </c>
      <c r="B61" s="2" t="s">
        <v>59</v>
      </c>
      <c r="C61" s="8">
        <v>10</v>
      </c>
      <c r="D61" s="11">
        <v>1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20"/>
      <c r="AJ61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61" s="29">
        <f ca="1">IF(Май[[#This Row],[УСЛУГ]]&lt;&gt;"",Май[[#This Row],[УСЛУГ]]*Май[[#This Row],[Периодичность]],"")</f>
        <v>0</v>
      </c>
    </row>
    <row r="62" spans="1:37" ht="18.75" x14ac:dyDescent="0.25">
      <c r="A62" s="16"/>
      <c r="B62" s="2"/>
      <c r="C62" s="8">
        <v>10</v>
      </c>
      <c r="D62" s="11">
        <v>2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20"/>
      <c r="AJ62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62" s="29" t="str">
        <f ca="1">IF(Май[[#This Row],[УСЛУГ]]&lt;&gt;"",Май[[#This Row],[УСЛУГ]]*Май[[#This Row],[Периодичность]],"")</f>
        <v/>
      </c>
    </row>
    <row r="63" spans="1:37" ht="18.75" x14ac:dyDescent="0.25">
      <c r="A63" s="16"/>
      <c r="B63" s="2"/>
      <c r="C63" s="8">
        <v>10</v>
      </c>
      <c r="D63" s="11">
        <v>3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20"/>
      <c r="AJ63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63" s="29" t="str">
        <f ca="1">IF(Май[[#This Row],[УСЛУГ]]&lt;&gt;"",Май[[#This Row],[УСЛУГ]]*Май[[#This Row],[Периодичность]],"")</f>
        <v/>
      </c>
    </row>
    <row r="64" spans="1:37" ht="31.5" x14ac:dyDescent="0.25">
      <c r="A64" s="16" t="s">
        <v>37</v>
      </c>
      <c r="B64" s="2" t="s">
        <v>60</v>
      </c>
      <c r="C64" s="8">
        <v>5</v>
      </c>
      <c r="D64" s="11">
        <v>1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64" s="29">
        <f ca="1">IF(Май[[#This Row],[УСЛУГ]]&lt;&gt;"",Май[[#This Row],[УСЛУГ]]*Май[[#This Row],[Периодичность]],"")</f>
        <v>0</v>
      </c>
    </row>
    <row r="65" spans="1:37" ht="18.75" x14ac:dyDescent="0.25">
      <c r="A65" s="16"/>
      <c r="B65" s="2"/>
      <c r="C65" s="8">
        <v>5</v>
      </c>
      <c r="D65" s="11">
        <v>2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20"/>
      <c r="AJ65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65" s="29" t="str">
        <f ca="1">IF(Май[[#This Row],[УСЛУГ]]&lt;&gt;"",Май[[#This Row],[УСЛУГ]]*Май[[#This Row],[Периодичность]],"")</f>
        <v/>
      </c>
    </row>
    <row r="66" spans="1:37" x14ac:dyDescent="0.25">
      <c r="A66" s="16"/>
      <c r="B66" s="2"/>
      <c r="C66" s="8">
        <v>5</v>
      </c>
      <c r="D66" s="11">
        <v>3</v>
      </c>
      <c r="E66" s="18"/>
      <c r="F66" s="18"/>
      <c r="G66" s="18"/>
      <c r="H66" s="18"/>
      <c r="I66" s="18"/>
      <c r="J66" s="18"/>
      <c r="K66" s="10"/>
      <c r="L66" s="10"/>
      <c r="M66" s="10"/>
      <c r="N66" s="10"/>
      <c r="O66" s="10"/>
      <c r="P66" s="18"/>
      <c r="Q66" s="18"/>
      <c r="R66" s="10"/>
      <c r="S66" s="10"/>
      <c r="T66" s="10"/>
      <c r="U66" s="10"/>
      <c r="V66" s="10"/>
      <c r="W66" s="18"/>
      <c r="X66" s="18"/>
      <c r="Y66" s="10"/>
      <c r="Z66" s="10"/>
      <c r="AA66" s="10"/>
      <c r="AB66" s="10"/>
      <c r="AC66" s="10"/>
      <c r="AD66" s="18"/>
      <c r="AE66" s="18"/>
      <c r="AF66" s="18"/>
      <c r="AG66" s="18"/>
      <c r="AH66" s="18"/>
      <c r="AI66" s="19"/>
      <c r="AJ66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66" s="29" t="str">
        <f ca="1">IF(Май[[#This Row],[УСЛУГ]]&lt;&gt;"",Май[[#This Row],[УСЛУГ]]*Май[[#This Row],[Периодичность]],"")</f>
        <v/>
      </c>
    </row>
    <row r="67" spans="1:37" ht="18.75" x14ac:dyDescent="0.25">
      <c r="A67" s="16" t="s">
        <v>38</v>
      </c>
      <c r="B67" s="2" t="s">
        <v>59</v>
      </c>
      <c r="C67" s="8">
        <v>7</v>
      </c>
      <c r="D67" s="11">
        <v>1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20"/>
      <c r="AJ67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67" s="29">
        <f ca="1">IF(Май[[#This Row],[УСЛУГ]]&lt;&gt;"",Май[[#This Row],[УСЛУГ]]*Май[[#This Row],[Периодичность]],"")</f>
        <v>0</v>
      </c>
    </row>
    <row r="68" spans="1:37" ht="18.75" x14ac:dyDescent="0.25">
      <c r="A68" s="16"/>
      <c r="B68" s="2"/>
      <c r="C68" s="8">
        <v>7</v>
      </c>
      <c r="D68" s="11">
        <v>2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20"/>
      <c r="AJ68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68" s="29" t="str">
        <f ca="1">IF(Май[[#This Row],[УСЛУГ]]&lt;&gt;"",Май[[#This Row],[УСЛУГ]]*Май[[#This Row],[Периодичность]],"")</f>
        <v/>
      </c>
    </row>
    <row r="69" spans="1:37" ht="18.75" x14ac:dyDescent="0.25">
      <c r="A69" s="16"/>
      <c r="B69" s="2"/>
      <c r="C69" s="8">
        <v>7</v>
      </c>
      <c r="D69" s="11">
        <v>3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20"/>
      <c r="AJ69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69" s="29" t="str">
        <f ca="1">IF(Май[[#This Row],[УСЛУГ]]&lt;&gt;"",Май[[#This Row],[УСЛУГ]]*Май[[#This Row],[Периодичность]],"")</f>
        <v/>
      </c>
    </row>
    <row r="70" spans="1:37" ht="47.25" x14ac:dyDescent="0.25">
      <c r="A70" s="16" t="s">
        <v>81</v>
      </c>
      <c r="B70" s="2" t="s">
        <v>59</v>
      </c>
      <c r="C70" s="8">
        <v>5</v>
      </c>
      <c r="D70" s="11">
        <v>1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20"/>
      <c r="AJ70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70" s="29">
        <f ca="1">IF(Май[[#This Row],[УСЛУГ]]&lt;&gt;"",Май[[#This Row],[УСЛУГ]]*Май[[#This Row],[Периодичность]],"")</f>
        <v>0</v>
      </c>
    </row>
    <row r="71" spans="1:37" ht="18.75" x14ac:dyDescent="0.25">
      <c r="A71" s="16"/>
      <c r="B71" s="2"/>
      <c r="C71" s="8">
        <v>5</v>
      </c>
      <c r="D71" s="11">
        <v>2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20"/>
      <c r="AJ71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71" s="29" t="str">
        <f ca="1">IF(Май[[#This Row],[УСЛУГ]]&lt;&gt;"",Май[[#This Row],[УСЛУГ]]*Май[[#This Row],[Периодичность]],"")</f>
        <v/>
      </c>
    </row>
    <row r="72" spans="1:37" ht="18.75" x14ac:dyDescent="0.25">
      <c r="A72" s="16"/>
      <c r="B72" s="2"/>
      <c r="C72" s="8">
        <v>5</v>
      </c>
      <c r="D72" s="11">
        <v>3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20"/>
      <c r="AJ72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72" s="29" t="str">
        <f ca="1">IF(Май[[#This Row],[УСЛУГ]]&lt;&gt;"",Май[[#This Row],[УСЛУГ]]*Май[[#This Row],[Периодичность]],"")</f>
        <v/>
      </c>
    </row>
    <row r="73" spans="1:37" ht="47.25" x14ac:dyDescent="0.25">
      <c r="A73" s="16" t="s">
        <v>80</v>
      </c>
      <c r="B73" s="2" t="s">
        <v>59</v>
      </c>
      <c r="C73" s="8">
        <v>5</v>
      </c>
      <c r="D73" s="11">
        <v>1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20"/>
      <c r="AJ73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73" s="29">
        <f ca="1">IF(Май[[#This Row],[УСЛУГ]]&lt;&gt;"",Май[[#This Row],[УСЛУГ]]*Май[[#This Row],[Периодичность]],"")</f>
        <v>0</v>
      </c>
    </row>
    <row r="74" spans="1:37" ht="18.75" x14ac:dyDescent="0.25">
      <c r="A74" s="16"/>
      <c r="B74" s="2"/>
      <c r="C74" s="8">
        <v>5</v>
      </c>
      <c r="D74" s="11">
        <v>2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20"/>
      <c r="AJ74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74" s="29" t="str">
        <f ca="1">IF(Май[[#This Row],[УСЛУГ]]&lt;&gt;"",Май[[#This Row],[УСЛУГ]]*Май[[#This Row],[Периодичность]],"")</f>
        <v/>
      </c>
    </row>
    <row r="75" spans="1:37" ht="18.75" x14ac:dyDescent="0.25">
      <c r="A75" s="16"/>
      <c r="B75" s="2"/>
      <c r="C75" s="8">
        <v>5</v>
      </c>
      <c r="D75" s="11">
        <v>3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20"/>
      <c r="AJ75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75" s="29" t="str">
        <f ca="1">IF(Май[[#This Row],[УСЛУГ]]&lt;&gt;"",Май[[#This Row],[УСЛУГ]]*Май[[#This Row],[Периодичность]],"")</f>
        <v/>
      </c>
    </row>
    <row r="76" spans="1:37" ht="47.25" x14ac:dyDescent="0.25">
      <c r="A76" s="16" t="s">
        <v>79</v>
      </c>
      <c r="B76" s="2" t="s">
        <v>57</v>
      </c>
      <c r="C76" s="8">
        <v>45</v>
      </c>
      <c r="D76" s="11">
        <v>1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20"/>
      <c r="AJ76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76" s="29">
        <f ca="1">IF(Май[[#This Row],[УСЛУГ]]&lt;&gt;"",Май[[#This Row],[УСЛУГ]]*Май[[#This Row],[Периодичность]],"")</f>
        <v>0</v>
      </c>
    </row>
    <row r="77" spans="1:37" ht="18.75" x14ac:dyDescent="0.25">
      <c r="A77" s="16"/>
      <c r="B77" s="2"/>
      <c r="C77" s="8">
        <v>45</v>
      </c>
      <c r="D77" s="11">
        <v>2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20"/>
      <c r="AJ77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77" s="29" t="str">
        <f ca="1">IF(Май[[#This Row],[УСЛУГ]]&lt;&gt;"",Май[[#This Row],[УСЛУГ]]*Май[[#This Row],[Периодичность]],"")</f>
        <v/>
      </c>
    </row>
    <row r="78" spans="1:37" x14ac:dyDescent="0.25">
      <c r="A78" s="16"/>
      <c r="B78" s="2"/>
      <c r="C78" s="8">
        <v>45</v>
      </c>
      <c r="D78" s="11">
        <v>3</v>
      </c>
      <c r="E78" s="18"/>
      <c r="F78" s="18"/>
      <c r="G78" s="18"/>
      <c r="H78" s="18"/>
      <c r="I78" s="18"/>
      <c r="J78" s="18"/>
      <c r="K78" s="10"/>
      <c r="L78" s="10"/>
      <c r="M78" s="10"/>
      <c r="N78" s="10"/>
      <c r="O78" s="10"/>
      <c r="P78" s="18"/>
      <c r="Q78" s="18"/>
      <c r="R78" s="10"/>
      <c r="S78" s="10"/>
      <c r="T78" s="10"/>
      <c r="U78" s="10"/>
      <c r="V78" s="10"/>
      <c r="W78" s="18"/>
      <c r="X78" s="18"/>
      <c r="Y78" s="10"/>
      <c r="Z78" s="10"/>
      <c r="AA78" s="10"/>
      <c r="AB78" s="10"/>
      <c r="AC78" s="10"/>
      <c r="AD78" s="18"/>
      <c r="AE78" s="18"/>
      <c r="AF78" s="18"/>
      <c r="AG78" s="18"/>
      <c r="AH78" s="18"/>
      <c r="AI78" s="19"/>
      <c r="AJ78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78" s="29" t="str">
        <f ca="1">IF(Май[[#This Row],[УСЛУГ]]&lt;&gt;"",Май[[#This Row],[УСЛУГ]]*Май[[#This Row],[Периодичность]],"")</f>
        <v/>
      </c>
    </row>
    <row r="79" spans="1:37" ht="47.25" x14ac:dyDescent="0.25">
      <c r="A79" s="16" t="s">
        <v>78</v>
      </c>
      <c r="B79" s="2" t="s">
        <v>59</v>
      </c>
      <c r="C79" s="8">
        <v>10</v>
      </c>
      <c r="D79" s="11">
        <v>1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79" s="29">
        <f ca="1">IF(Май[[#This Row],[УСЛУГ]]&lt;&gt;"",Май[[#This Row],[УСЛУГ]]*Май[[#This Row],[Периодичность]],"")</f>
        <v>0</v>
      </c>
    </row>
    <row r="80" spans="1:37" ht="18.75" x14ac:dyDescent="0.25">
      <c r="A80" s="16"/>
      <c r="B80" s="2"/>
      <c r="C80" s="8">
        <v>10</v>
      </c>
      <c r="D80" s="11">
        <v>2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20"/>
      <c r="AJ80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80" s="29" t="str">
        <f ca="1">IF(Май[[#This Row],[УСЛУГ]]&lt;&gt;"",Май[[#This Row],[УСЛУГ]]*Май[[#This Row],[Периодичность]],"")</f>
        <v/>
      </c>
    </row>
    <row r="81" spans="1:37" x14ac:dyDescent="0.25">
      <c r="A81" s="16"/>
      <c r="B81" s="2"/>
      <c r="C81" s="8">
        <v>10</v>
      </c>
      <c r="D81" s="11">
        <v>3</v>
      </c>
      <c r="E81" s="18"/>
      <c r="F81" s="18"/>
      <c r="G81" s="18"/>
      <c r="H81" s="18"/>
      <c r="I81" s="18"/>
      <c r="J81" s="18"/>
      <c r="K81" s="10"/>
      <c r="L81" s="10"/>
      <c r="M81" s="10"/>
      <c r="N81" s="10"/>
      <c r="O81" s="10"/>
      <c r="P81" s="18"/>
      <c r="Q81" s="18"/>
      <c r="R81" s="10"/>
      <c r="S81" s="10"/>
      <c r="T81" s="10"/>
      <c r="U81" s="10"/>
      <c r="V81" s="10"/>
      <c r="W81" s="18"/>
      <c r="X81" s="18"/>
      <c r="Y81" s="10"/>
      <c r="Z81" s="10"/>
      <c r="AA81" s="10"/>
      <c r="AB81" s="10"/>
      <c r="AC81" s="10"/>
      <c r="AD81" s="18"/>
      <c r="AE81" s="18"/>
      <c r="AF81" s="18"/>
      <c r="AG81" s="18"/>
      <c r="AH81" s="18"/>
      <c r="AI81" s="19"/>
      <c r="AJ81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81" s="29" t="str">
        <f ca="1">IF(Май[[#This Row],[УСЛУГ]]&lt;&gt;"",Май[[#This Row],[УСЛУГ]]*Май[[#This Row],[Периодичность]],"")</f>
        <v/>
      </c>
    </row>
  </sheetData>
  <mergeCells count="20">
    <mergeCell ref="AJ7:AJ11"/>
    <mergeCell ref="AK7:AK11"/>
    <mergeCell ref="E10:AI11"/>
    <mergeCell ref="A19:A23"/>
    <mergeCell ref="B19:C23"/>
    <mergeCell ref="D19:D23"/>
    <mergeCell ref="E19:AI20"/>
    <mergeCell ref="AJ19:AJ23"/>
    <mergeCell ref="AK19:AK23"/>
    <mergeCell ref="E22:AI23"/>
    <mergeCell ref="A7:A11"/>
    <mergeCell ref="B7:B11"/>
    <mergeCell ref="C7:C11"/>
    <mergeCell ref="D7:D11"/>
    <mergeCell ref="E7:AI8"/>
    <mergeCell ref="A2:AJ2"/>
    <mergeCell ref="A3:AJ3"/>
    <mergeCell ref="J4:L4"/>
    <mergeCell ref="M4:U4"/>
    <mergeCell ref="M5:Q5"/>
  </mergeCells>
  <conditionalFormatting sqref="E9:AI9">
    <cfRule type="expression" dxfId="785" priority="2">
      <formula>WEEKDAY(E9:AI9,2)&gt;5</formula>
    </cfRule>
  </conditionalFormatting>
  <conditionalFormatting sqref="E21:AI21">
    <cfRule type="expression" dxfId="784" priority="1">
      <formula>WEEKDAY(E21:AI21,2)&gt;5</formula>
    </cfRule>
  </conditionalFormatting>
  <dataValidations count="2">
    <dataValidation type="list" allowBlank="1" showInputMessage="1" showErrorMessage="1" sqref="D25:D81">
      <formula1>INDIRECT("Посещения")</formula1>
    </dataValidation>
    <dataValidation type="list" allowBlank="1" showInputMessage="1" showErrorMessage="1" sqref="A25:A81">
      <formula1>INDIRECT("Услуги[Кратко]")</formula1>
    </dataValidation>
  </dataValidations>
  <pageMargins left="0.25" right="0.25" top="0.75" bottom="0.75" header="0.3" footer="0.3"/>
  <pageSetup paperSize="9" scale="52" fitToHeight="0" orientation="landscape" horizontalDpi="300" verticalDpi="300" r:id="rId1"/>
  <ignoredErrors>
    <ignoredError sqref="E13:E17 AI13:AK17 B13:B17" calculatedColumn="1"/>
  </ignoredErrors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105"/>
  <sheetViews>
    <sheetView zoomScale="80" zoomScaleNormal="80" workbookViewId="0">
      <selection activeCell="B5" sqref="B5"/>
    </sheetView>
  </sheetViews>
  <sheetFormatPr defaultRowHeight="15.75" x14ac:dyDescent="0.25"/>
  <cols>
    <col min="1" max="1" width="21.42578125" style="3" customWidth="1"/>
    <col min="2" max="2" width="14.140625" style="3" customWidth="1"/>
    <col min="3" max="3" width="17.5703125" style="3" customWidth="1"/>
    <col min="4" max="4" width="9.28515625" style="3" customWidth="1"/>
    <col min="5" max="5" width="11.28515625" style="3" bestFit="1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7" ht="18.75" x14ac:dyDescent="0.25">
      <c r="A2" s="60" t="s">
        <v>72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</row>
    <row r="3" spans="1:37" ht="18.75" x14ac:dyDescent="0.25">
      <c r="A3" s="60" t="s">
        <v>73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</row>
    <row r="4" spans="1:37" ht="18.75" x14ac:dyDescent="0.25">
      <c r="I4" s="13"/>
      <c r="J4" s="61" t="s">
        <v>74</v>
      </c>
      <c r="K4" s="61"/>
      <c r="L4" s="61"/>
      <c r="M4" s="62"/>
      <c r="N4" s="54"/>
      <c r="O4" s="54"/>
      <c r="P4" s="54"/>
      <c r="Q4" s="54"/>
      <c r="R4" s="54"/>
      <c r="S4" s="54"/>
      <c r="T4" s="54"/>
      <c r="U4" s="54"/>
    </row>
    <row r="5" spans="1:37" ht="18.75" x14ac:dyDescent="0.25">
      <c r="C5" s="17"/>
      <c r="L5" s="12" t="s">
        <v>75</v>
      </c>
      <c r="M5" s="63" t="s">
        <v>137</v>
      </c>
      <c r="N5" s="64"/>
      <c r="O5" s="64"/>
      <c r="P5" s="64"/>
      <c r="Q5" s="64"/>
      <c r="R5" s="37">
        <f>Год[Год]</f>
        <v>2023</v>
      </c>
      <c r="S5" s="38" t="s">
        <v>138</v>
      </c>
      <c r="T5" s="14"/>
      <c r="U5" s="14"/>
    </row>
    <row r="6" spans="1:37" ht="18.75" x14ac:dyDescent="0.25">
      <c r="C6" s="17"/>
      <c r="L6" s="12"/>
      <c r="M6" s="22"/>
      <c r="N6" s="33"/>
      <c r="O6" s="33"/>
      <c r="P6" s="33"/>
      <c r="Q6" s="33"/>
      <c r="R6" s="22"/>
      <c r="S6" s="33"/>
      <c r="T6" s="14"/>
      <c r="U6" s="14"/>
    </row>
    <row r="7" spans="1:37" ht="26.25" customHeight="1" x14ac:dyDescent="0.25">
      <c r="A7" s="49"/>
      <c r="B7" s="57" t="s">
        <v>121</v>
      </c>
      <c r="C7" s="57" t="s">
        <v>120</v>
      </c>
      <c r="D7" s="58" t="s">
        <v>67</v>
      </c>
      <c r="E7" s="43" t="s">
        <v>55</v>
      </c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45"/>
      <c r="AI7" s="39" t="s">
        <v>70</v>
      </c>
      <c r="AJ7" s="39" t="s">
        <v>70</v>
      </c>
      <c r="AK7" s="4"/>
    </row>
    <row r="8" spans="1:37" ht="15.75" customHeight="1" x14ac:dyDescent="0.25">
      <c r="A8" s="49"/>
      <c r="B8" s="52"/>
      <c r="C8" s="52"/>
      <c r="D8" s="59"/>
      <c r="E8" s="53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5"/>
      <c r="AI8" s="39"/>
      <c r="AJ8" s="39"/>
      <c r="AK8" s="4"/>
    </row>
    <row r="9" spans="1:37" x14ac:dyDescent="0.25">
      <c r="A9" s="49"/>
      <c r="B9" s="52"/>
      <c r="C9" s="52"/>
      <c r="D9" s="59"/>
      <c r="E9" s="23">
        <f>Настройки!E12</f>
        <v>45078</v>
      </c>
      <c r="F9" s="23">
        <f>Настройки!F12</f>
        <v>45079</v>
      </c>
      <c r="G9" s="23">
        <f>Настройки!G12</f>
        <v>45080</v>
      </c>
      <c r="H9" s="23">
        <f>Настройки!H12</f>
        <v>45081</v>
      </c>
      <c r="I9" s="23">
        <f>Настройки!I12</f>
        <v>45082</v>
      </c>
      <c r="J9" s="23">
        <f>Настройки!J12</f>
        <v>45083</v>
      </c>
      <c r="K9" s="23">
        <f>Настройки!K12</f>
        <v>45084</v>
      </c>
      <c r="L9" s="23">
        <f>Настройки!L12</f>
        <v>45085</v>
      </c>
      <c r="M9" s="23">
        <f>Настройки!M12</f>
        <v>45086</v>
      </c>
      <c r="N9" s="23">
        <f>Настройки!N12</f>
        <v>45087</v>
      </c>
      <c r="O9" s="23">
        <f>Настройки!O12</f>
        <v>45088</v>
      </c>
      <c r="P9" s="23">
        <f>Настройки!P12</f>
        <v>45089</v>
      </c>
      <c r="Q9" s="23">
        <f>Настройки!Q12</f>
        <v>45090</v>
      </c>
      <c r="R9" s="23">
        <f>Настройки!R12</f>
        <v>45091</v>
      </c>
      <c r="S9" s="23">
        <f>Настройки!S12</f>
        <v>45092</v>
      </c>
      <c r="T9" s="23">
        <f>Настройки!T12</f>
        <v>45093</v>
      </c>
      <c r="U9" s="23">
        <f>Настройки!U12</f>
        <v>45094</v>
      </c>
      <c r="V9" s="23">
        <f>Настройки!V12</f>
        <v>45095</v>
      </c>
      <c r="W9" s="23">
        <f>Настройки!W12</f>
        <v>45096</v>
      </c>
      <c r="X9" s="23">
        <f>Настройки!X12</f>
        <v>45097</v>
      </c>
      <c r="Y9" s="23">
        <f>Настройки!Y12</f>
        <v>45098</v>
      </c>
      <c r="Z9" s="23">
        <f>Настройки!Z12</f>
        <v>45099</v>
      </c>
      <c r="AA9" s="23">
        <f>Настройки!AA12</f>
        <v>45100</v>
      </c>
      <c r="AB9" s="23">
        <f>Настройки!AB12</f>
        <v>45101</v>
      </c>
      <c r="AC9" s="23">
        <f>Настройки!AC12</f>
        <v>45102</v>
      </c>
      <c r="AD9" s="23">
        <f>Настройки!AD12</f>
        <v>45103</v>
      </c>
      <c r="AE9" s="23">
        <f>Настройки!AE12</f>
        <v>45104</v>
      </c>
      <c r="AF9" s="23">
        <f>Настройки!AF12</f>
        <v>45105</v>
      </c>
      <c r="AG9" s="23">
        <f>Настройки!AG12</f>
        <v>45106</v>
      </c>
      <c r="AH9" s="23">
        <f>Настройки!AH12</f>
        <v>45107</v>
      </c>
      <c r="AI9" s="39"/>
      <c r="AJ9" s="39"/>
      <c r="AK9" s="4"/>
    </row>
    <row r="10" spans="1:37" ht="15.75" customHeight="1" x14ac:dyDescent="0.25">
      <c r="A10" s="49"/>
      <c r="B10" s="52"/>
      <c r="C10" s="52"/>
      <c r="D10" s="59"/>
      <c r="E10" s="43" t="s">
        <v>54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69"/>
      <c r="AI10" s="39"/>
      <c r="AJ10" s="39"/>
      <c r="AK10" s="4"/>
    </row>
    <row r="11" spans="1:37" x14ac:dyDescent="0.25">
      <c r="A11" s="57"/>
      <c r="B11" s="52"/>
      <c r="C11" s="52"/>
      <c r="D11" s="59"/>
      <c r="E11" s="46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8"/>
      <c r="AI11" s="39"/>
      <c r="AJ11" s="39"/>
    </row>
    <row r="12" spans="1:37" ht="22.5" customHeight="1" x14ac:dyDescent="0.25">
      <c r="A12" s="3" t="s">
        <v>88</v>
      </c>
      <c r="B12" s="3" t="s">
        <v>87</v>
      </c>
      <c r="C12" s="3" t="s">
        <v>119</v>
      </c>
      <c r="D12" s="9" t="s">
        <v>66</v>
      </c>
      <c r="E12" s="15" t="s">
        <v>89</v>
      </c>
      <c r="F12" s="15" t="s">
        <v>90</v>
      </c>
      <c r="G12" s="15" t="s">
        <v>91</v>
      </c>
      <c r="H12" s="15" t="s">
        <v>92</v>
      </c>
      <c r="I12" s="15" t="s">
        <v>93</v>
      </c>
      <c r="J12" s="15" t="s">
        <v>94</v>
      </c>
      <c r="K12" s="15" t="s">
        <v>95</v>
      </c>
      <c r="L12" s="15" t="s">
        <v>96</v>
      </c>
      <c r="M12" s="15" t="s">
        <v>97</v>
      </c>
      <c r="N12" s="15" t="s">
        <v>98</v>
      </c>
      <c r="O12" s="15" t="s">
        <v>99</v>
      </c>
      <c r="P12" s="15" t="s">
        <v>100</v>
      </c>
      <c r="Q12" s="15" t="s">
        <v>101</v>
      </c>
      <c r="R12" s="15" t="s">
        <v>102</v>
      </c>
      <c r="S12" s="15" t="s">
        <v>103</v>
      </c>
      <c r="T12" s="15" t="s">
        <v>104</v>
      </c>
      <c r="U12" s="15" t="s">
        <v>105</v>
      </c>
      <c r="V12" s="15" t="s">
        <v>106</v>
      </c>
      <c r="W12" s="15" t="s">
        <v>107</v>
      </c>
      <c r="X12" s="15" t="s">
        <v>108</v>
      </c>
      <c r="Y12" s="15" t="s">
        <v>109</v>
      </c>
      <c r="Z12" s="15" t="s">
        <v>110</v>
      </c>
      <c r="AA12" s="15" t="s">
        <v>111</v>
      </c>
      <c r="AB12" s="15" t="s">
        <v>112</v>
      </c>
      <c r="AC12" s="15" t="s">
        <v>113</v>
      </c>
      <c r="AD12" s="15" t="s">
        <v>114</v>
      </c>
      <c r="AE12" s="15" t="s">
        <v>115</v>
      </c>
      <c r="AF12" s="15" t="s">
        <v>116</v>
      </c>
      <c r="AG12" s="15" t="s">
        <v>117</v>
      </c>
      <c r="AH12" s="15" t="s">
        <v>118</v>
      </c>
      <c r="AI12" s="3" t="s">
        <v>68</v>
      </c>
      <c r="AJ12" s="3" t="s">
        <v>69</v>
      </c>
    </row>
    <row r="13" spans="1:37" ht="22.5" customHeight="1" x14ac:dyDescent="0.25">
      <c r="A13" s="5" t="s">
        <v>62</v>
      </c>
      <c r="B13" s="3">
        <f>SUMPRODUCT((Настройки!$E$26:$AH$26=1)*E16:AH16)</f>
        <v>0</v>
      </c>
      <c r="C13" s="15"/>
      <c r="D13" s="5">
        <v>1</v>
      </c>
      <c r="E13" s="3">
        <f>SUMPRODUCT((Июнь[№]=1)*Июнь[1],Июнь[Периодичность])</f>
        <v>0</v>
      </c>
      <c r="F13" s="30">
        <f>SUMPRODUCT((Июнь[№]=1)*Июнь[2],Июнь[Периодичность])</f>
        <v>0</v>
      </c>
      <c r="G13" s="30">
        <f>SUMPRODUCT((Июнь[№]=1)*Июнь[3],Июнь[Периодичность])</f>
        <v>0</v>
      </c>
      <c r="H13" s="30">
        <f>SUMPRODUCT((Июнь[№]=1)*Июнь[4],Июнь[Периодичность])</f>
        <v>0</v>
      </c>
      <c r="I13" s="30">
        <f>SUMPRODUCT((Июнь[№]=1)*Июнь[5],Июнь[Периодичность])</f>
        <v>0</v>
      </c>
      <c r="J13" s="30">
        <f>SUMPRODUCT((Июнь[№]=1)*Июнь[6],Июнь[Периодичность])</f>
        <v>0</v>
      </c>
      <c r="K13" s="30">
        <f>SUMPRODUCT((Июнь[№]=1)*Июнь[7],Июнь[Периодичность])</f>
        <v>0</v>
      </c>
      <c r="L13" s="30">
        <f>SUMPRODUCT((Июнь[№]=1)*Июнь[8],Июнь[Периодичность])</f>
        <v>0</v>
      </c>
      <c r="M13" s="30">
        <f>SUMPRODUCT((Июнь[№]=1)*Июнь[9],Июнь[Периодичность])</f>
        <v>0</v>
      </c>
      <c r="N13" s="30">
        <f>SUMPRODUCT((Июнь[№]=1)*Июнь[10],Июнь[Периодичность])</f>
        <v>0</v>
      </c>
      <c r="O13" s="30">
        <f>SUMPRODUCT((Июнь[№]=1)*Июнь[11],Июнь[Периодичность])</f>
        <v>0</v>
      </c>
      <c r="P13" s="30">
        <f>SUMPRODUCT((Июнь[№]=1)*Июнь[12],Июнь[Периодичность])</f>
        <v>0</v>
      </c>
      <c r="Q13" s="30">
        <f>SUMPRODUCT((Июнь[№]=1)*Июнь[13],Июнь[Периодичность])</f>
        <v>0</v>
      </c>
      <c r="R13" s="30">
        <f>SUMPRODUCT((Июнь[№]=1)*Июнь[14],Июнь[Периодичность])</f>
        <v>0</v>
      </c>
      <c r="S13" s="30">
        <f>SUMPRODUCT((Июнь[№]=1)*Июнь[15],Июнь[Периодичность])</f>
        <v>0</v>
      </c>
      <c r="T13" s="30">
        <f>SUMPRODUCT((Июнь[№]=1)*Июнь[16],Июнь[Периодичность])</f>
        <v>0</v>
      </c>
      <c r="U13" s="30">
        <f>SUMPRODUCT((Июнь[№]=1)*Июнь[17],Июнь[Периодичность])</f>
        <v>0</v>
      </c>
      <c r="V13" s="30">
        <f>SUMPRODUCT((Июнь[№]=1)*Июнь[18],Июнь[Периодичность])</f>
        <v>0</v>
      </c>
      <c r="W13" s="30">
        <f>SUMPRODUCT((Июнь[№]=1)*Июнь[19],Июнь[Периодичность])</f>
        <v>0</v>
      </c>
      <c r="X13" s="30">
        <f>SUMPRODUCT((Июнь[№]=1)*Июнь[20],Июнь[Периодичность])</f>
        <v>0</v>
      </c>
      <c r="Y13" s="30">
        <f>SUMPRODUCT((Июнь[№]=1)*Июнь[21],Июнь[Периодичность])</f>
        <v>0</v>
      </c>
      <c r="Z13" s="30">
        <f>SUMPRODUCT((Июнь[№]=1)*Июнь[22],Июнь[Периодичность])</f>
        <v>0</v>
      </c>
      <c r="AA13" s="30">
        <f>SUMPRODUCT((Июнь[№]=1)*Июнь[23],Июнь[Периодичность])</f>
        <v>0</v>
      </c>
      <c r="AB13" s="30">
        <f>SUMPRODUCT((Июнь[№]=1)*Июнь[24],Июнь[Периодичность])</f>
        <v>0</v>
      </c>
      <c r="AC13" s="30">
        <f>SUMPRODUCT((Июнь[№]=1)*Июнь[25],Июнь[Периодичность])</f>
        <v>0</v>
      </c>
      <c r="AD13" s="30">
        <f>SUMPRODUCT((Июнь[№]=1)*Июнь[26],Июнь[Периодичность])</f>
        <v>0</v>
      </c>
      <c r="AE13" s="30">
        <f>SUMPRODUCT((Июнь[№]=1)*Июнь[27],Июнь[Периодичность])</f>
        <v>0</v>
      </c>
      <c r="AF13" s="30">
        <f>SUMPRODUCT((Июнь[№]=1)*Июнь[28],Июнь[Периодичность])</f>
        <v>0</v>
      </c>
      <c r="AG13" s="30">
        <f>SUMPRODUCT((Июнь[№]=1)*Июнь[29],Июнь[Периодичность])</f>
        <v>0</v>
      </c>
      <c r="AH13" s="30">
        <f>SUMPRODUCT((Июнь[№]=1)*Июнь[30],Июнь[Периодичность])</f>
        <v>0</v>
      </c>
    </row>
    <row r="14" spans="1:37" ht="20.25" customHeight="1" x14ac:dyDescent="0.25">
      <c r="B14" s="3">
        <f>SUMPRODUCT((Настройки!$E$26:$AH$26=2)*E16:AH16)</f>
        <v>0</v>
      </c>
      <c r="D14" s="5">
        <v>2</v>
      </c>
      <c r="E14" s="3">
        <f>SUMPRODUCT((Июнь[№]=2)*Июнь[1],Июнь[Периодичность])</f>
        <v>0</v>
      </c>
      <c r="F14" s="30">
        <f>SUMPRODUCT((Июнь[№]=2)*Июнь[2],Июнь[Периодичность])</f>
        <v>0</v>
      </c>
      <c r="G14" s="30">
        <f>SUMPRODUCT((Июнь[№]=2)*Июнь[3],Июнь[Периодичность])</f>
        <v>0</v>
      </c>
      <c r="H14" s="30">
        <f>SUMPRODUCT((Июнь[№]=2)*Июнь[4],Июнь[Периодичность])</f>
        <v>0</v>
      </c>
      <c r="I14" s="30">
        <f>SUMPRODUCT((Июнь[№]=2)*Июнь[5],Июнь[Периодичность])</f>
        <v>0</v>
      </c>
      <c r="J14" s="30">
        <f>SUMPRODUCT((Июнь[№]=2)*Июнь[6],Июнь[Периодичность])</f>
        <v>0</v>
      </c>
      <c r="K14" s="30">
        <f>SUMPRODUCT((Июнь[№]=2)*Июнь[7],Июнь[Периодичность])</f>
        <v>0</v>
      </c>
      <c r="L14" s="30">
        <f>SUMPRODUCT((Июнь[№]=2)*Июнь[8],Июнь[Периодичность])</f>
        <v>0</v>
      </c>
      <c r="M14" s="30">
        <f>SUMPRODUCT((Июнь[№]=2)*Июнь[9],Июнь[Периодичность])</f>
        <v>0</v>
      </c>
      <c r="N14" s="30">
        <f>SUMPRODUCT((Июнь[№]=2)*Июнь[10],Июнь[Периодичность])</f>
        <v>0</v>
      </c>
      <c r="O14" s="30">
        <f>SUMPRODUCT((Июнь[№]=2)*Июнь[11],Июнь[Периодичность])</f>
        <v>0</v>
      </c>
      <c r="P14" s="30">
        <f>SUMPRODUCT((Июнь[№]=2)*Июнь[12],Июнь[Периодичность])</f>
        <v>0</v>
      </c>
      <c r="Q14" s="30">
        <f>SUMPRODUCT((Июнь[№]=2)*Июнь[13],Июнь[Периодичность])</f>
        <v>0</v>
      </c>
      <c r="R14" s="30">
        <f>SUMPRODUCT((Июнь[№]=2)*Июнь[14],Июнь[Периодичность])</f>
        <v>0</v>
      </c>
      <c r="S14" s="30">
        <f>SUMPRODUCT((Июнь[№]=2)*Июнь[15],Июнь[Периодичность])</f>
        <v>0</v>
      </c>
      <c r="T14" s="30">
        <f>SUMPRODUCT((Июнь[№]=2)*Июнь[16],Июнь[Периодичность])</f>
        <v>0</v>
      </c>
      <c r="U14" s="30">
        <f>SUMPRODUCT((Июнь[№]=2)*Июнь[17],Июнь[Периодичность])</f>
        <v>0</v>
      </c>
      <c r="V14" s="30">
        <f>SUMPRODUCT((Июнь[№]=2)*Июнь[18],Июнь[Периодичность])</f>
        <v>0</v>
      </c>
      <c r="W14" s="30">
        <f>SUMPRODUCT((Июнь[№]=2)*Июнь[19],Июнь[Периодичность])</f>
        <v>0</v>
      </c>
      <c r="X14" s="30">
        <f>SUMPRODUCT((Июнь[№]=2)*Июнь[20],Июнь[Периодичность])</f>
        <v>0</v>
      </c>
      <c r="Y14" s="30">
        <f>SUMPRODUCT((Июнь[№]=2)*Июнь[21],Июнь[Периодичность])</f>
        <v>0</v>
      </c>
      <c r="Z14" s="30">
        <f>SUMPRODUCT((Июнь[№]=2)*Июнь[22],Июнь[Периодичность])</f>
        <v>0</v>
      </c>
      <c r="AA14" s="30">
        <f>SUMPRODUCT((Июнь[№]=2)*Июнь[23],Июнь[Периодичность])</f>
        <v>0</v>
      </c>
      <c r="AB14" s="30">
        <f>SUMPRODUCT((Июнь[№]=2)*Июнь[24],Июнь[Периодичность])</f>
        <v>0</v>
      </c>
      <c r="AC14" s="30">
        <f>SUMPRODUCT((Июнь[№]=2)*Июнь[25],Июнь[Периодичность])</f>
        <v>0</v>
      </c>
      <c r="AD14" s="30">
        <f>SUMPRODUCT((Июнь[№]=2)*Июнь[26],Июнь[Периодичность])</f>
        <v>0</v>
      </c>
      <c r="AE14" s="30">
        <f>SUMPRODUCT((Июнь[№]=2)*Июнь[27],Июнь[Периодичность])</f>
        <v>0</v>
      </c>
      <c r="AF14" s="30">
        <f>SUMPRODUCT((Июнь[№]=2)*Июнь[28],Июнь[Периодичность])</f>
        <v>0</v>
      </c>
      <c r="AG14" s="30">
        <f>SUMPRODUCT((Июнь[№]=2)*Июнь[29],Июнь[Периодичность])</f>
        <v>0</v>
      </c>
      <c r="AH14" s="30">
        <f>SUMPRODUCT((Июнь[№]=2)*Июнь[30],Июнь[Периодичность])</f>
        <v>0</v>
      </c>
    </row>
    <row r="15" spans="1:37" ht="22.5" customHeight="1" x14ac:dyDescent="0.25">
      <c r="B15" s="3">
        <f>SUMPRODUCT((Настройки!$E$26:$AH$26=3)*E16:AH16)</f>
        <v>0</v>
      </c>
      <c r="D15" s="5">
        <v>3</v>
      </c>
      <c r="E15" s="3">
        <f>SUMPRODUCT((Июнь[№]=3)*Июнь[1],Июнь[Периодичность])</f>
        <v>0</v>
      </c>
      <c r="F15" s="30">
        <f>SUMPRODUCT((Июнь[№]=3)*Июнь[2],Июнь[Периодичность])</f>
        <v>0</v>
      </c>
      <c r="G15" s="30">
        <f>SUMPRODUCT((Июнь[№]=3)*Июнь[3],Июнь[Периодичность])</f>
        <v>0</v>
      </c>
      <c r="H15" s="30">
        <f>SUMPRODUCT((Июнь[№]=3)*Июнь[4],Июнь[Периодичность])</f>
        <v>0</v>
      </c>
      <c r="I15" s="30">
        <f>SUMPRODUCT((Июнь[№]=3)*Июнь[5],Июнь[Периодичность])</f>
        <v>0</v>
      </c>
      <c r="J15" s="30">
        <f>SUMPRODUCT((Июнь[№]=3)*Июнь[6],Июнь[Периодичность])</f>
        <v>0</v>
      </c>
      <c r="K15" s="30">
        <f>SUMPRODUCT((Июнь[№]=3)*Июнь[7],Июнь[Периодичность])</f>
        <v>0</v>
      </c>
      <c r="L15" s="30">
        <f>SUMPRODUCT((Июнь[№]=3)*Июнь[8],Июнь[Периодичность])</f>
        <v>0</v>
      </c>
      <c r="M15" s="30">
        <f>SUMPRODUCT((Июнь[№]=3)*Июнь[9],Июнь[Периодичность])</f>
        <v>0</v>
      </c>
      <c r="N15" s="30">
        <f>SUMPRODUCT((Июнь[№]=3)*Июнь[10],Июнь[Периодичность])</f>
        <v>0</v>
      </c>
      <c r="O15" s="30">
        <f>SUMPRODUCT((Июнь[№]=3)*Июнь[11],Июнь[Периодичность])</f>
        <v>0</v>
      </c>
      <c r="P15" s="30">
        <f>SUMPRODUCT((Июнь[№]=3)*Июнь[12],Июнь[Периодичность])</f>
        <v>0</v>
      </c>
      <c r="Q15" s="30">
        <f>SUMPRODUCT((Июнь[№]=3)*Июнь[13],Июнь[Периодичность])</f>
        <v>0</v>
      </c>
      <c r="R15" s="30">
        <f>SUMPRODUCT((Июнь[№]=3)*Июнь[14],Июнь[Периодичность])</f>
        <v>0</v>
      </c>
      <c r="S15" s="30">
        <f>SUMPRODUCT((Июнь[№]=3)*Июнь[15],Июнь[Периодичность])</f>
        <v>0</v>
      </c>
      <c r="T15" s="30">
        <f>SUMPRODUCT((Июнь[№]=3)*Июнь[16],Июнь[Периодичность])</f>
        <v>0</v>
      </c>
      <c r="U15" s="30">
        <f>SUMPRODUCT((Июнь[№]=3)*Июнь[17],Июнь[Периодичность])</f>
        <v>0</v>
      </c>
      <c r="V15" s="30">
        <f>SUMPRODUCT((Июнь[№]=3)*Июнь[18],Июнь[Периодичность])</f>
        <v>0</v>
      </c>
      <c r="W15" s="30">
        <f>SUMPRODUCT((Июнь[№]=3)*Июнь[19],Июнь[Периодичность])</f>
        <v>0</v>
      </c>
      <c r="X15" s="30">
        <f>SUMPRODUCT((Июнь[№]=3)*Июнь[20],Июнь[Периодичность])</f>
        <v>0</v>
      </c>
      <c r="Y15" s="30">
        <f>SUMPRODUCT((Июнь[№]=3)*Июнь[21],Июнь[Периодичность])</f>
        <v>0</v>
      </c>
      <c r="Z15" s="30">
        <f>SUMPRODUCT((Июнь[№]=3)*Июнь[22],Июнь[Периодичность])</f>
        <v>0</v>
      </c>
      <c r="AA15" s="30">
        <f>SUMPRODUCT((Июнь[№]=3)*Июнь[23],Июнь[Периодичность])</f>
        <v>0</v>
      </c>
      <c r="AB15" s="30">
        <f>SUMPRODUCT((Июнь[№]=3)*Июнь[24],Июнь[Периодичность])</f>
        <v>0</v>
      </c>
      <c r="AC15" s="30">
        <f>SUMPRODUCT((Июнь[№]=3)*Июнь[25],Июнь[Периодичность])</f>
        <v>0</v>
      </c>
      <c r="AD15" s="30">
        <f>SUMPRODUCT((Июнь[№]=3)*Июнь[26],Июнь[Периодичность])</f>
        <v>0</v>
      </c>
      <c r="AE15" s="30">
        <f>SUMPRODUCT((Июнь[№]=3)*Июнь[27],Июнь[Периодичность])</f>
        <v>0</v>
      </c>
      <c r="AF15" s="30">
        <f>SUMPRODUCT((Июнь[№]=3)*Июнь[28],Июнь[Периодичность])</f>
        <v>0</v>
      </c>
      <c r="AG15" s="30">
        <f>SUMPRODUCT((Июнь[№]=3)*Июнь[29],Июнь[Периодичность])</f>
        <v>0</v>
      </c>
      <c r="AH15" s="30">
        <f>SUMPRODUCT((Июнь[№]=3)*Июнь[30],Июнь[Периодичность])</f>
        <v>0</v>
      </c>
      <c r="AJ15" s="11"/>
    </row>
    <row r="16" spans="1:37" ht="18" customHeight="1" x14ac:dyDescent="0.25">
      <c r="B16" s="3">
        <f>SUMPRODUCT((Настройки!$E$26:$AH$26=4)*E16:AH16)</f>
        <v>0</v>
      </c>
      <c r="D16" s="5"/>
      <c r="E16" s="3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J16" s="11"/>
    </row>
    <row r="17" spans="1:36" ht="21.75" customHeight="1" x14ac:dyDescent="0.25">
      <c r="B17" s="3">
        <f>SUMPRODUCT((Настройки!$E$26:$AH$26=5)*E16:AH16)</f>
        <v>0</v>
      </c>
      <c r="C17" s="5">
        <f>ИюньИтоги[[#This Row],[№]]*60</f>
        <v>0</v>
      </c>
      <c r="D17" s="7">
        <f>SUM(ИюньИтоги[[#This Row],[1]:[30]])</f>
        <v>0</v>
      </c>
      <c r="E17" s="6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5">
        <f ca="1">SUM(Июнь[УСЛУГ])</f>
        <v>0</v>
      </c>
      <c r="AJ17" s="21">
        <f ca="1">SUM(Июнь[МИНУТ])</f>
        <v>0</v>
      </c>
    </row>
    <row r="19" spans="1:36" x14ac:dyDescent="0.25">
      <c r="A19" s="49" t="s">
        <v>52</v>
      </c>
      <c r="B19" s="49" t="s">
        <v>53</v>
      </c>
      <c r="C19" s="50"/>
      <c r="D19" s="51" t="s">
        <v>67</v>
      </c>
      <c r="E19" s="43" t="s">
        <v>55</v>
      </c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45"/>
      <c r="AI19" s="39" t="s">
        <v>70</v>
      </c>
      <c r="AJ19" s="39" t="s">
        <v>70</v>
      </c>
    </row>
    <row r="20" spans="1:36" ht="15.75" customHeight="1" x14ac:dyDescent="0.25">
      <c r="A20" s="49"/>
      <c r="B20" s="49"/>
      <c r="C20" s="50"/>
      <c r="D20" s="52"/>
      <c r="E20" s="53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5"/>
      <c r="AI20" s="39"/>
      <c r="AJ20" s="39"/>
    </row>
    <row r="21" spans="1:36" x14ac:dyDescent="0.25">
      <c r="A21" s="49"/>
      <c r="B21" s="49"/>
      <c r="C21" s="50"/>
      <c r="D21" s="52"/>
      <c r="E21" s="27">
        <f>Настройки!E12</f>
        <v>45078</v>
      </c>
      <c r="F21" s="27">
        <f>Настройки!F12</f>
        <v>45079</v>
      </c>
      <c r="G21" s="27">
        <f>Настройки!G12</f>
        <v>45080</v>
      </c>
      <c r="H21" s="27">
        <f>Настройки!H12</f>
        <v>45081</v>
      </c>
      <c r="I21" s="27">
        <f>Настройки!I12</f>
        <v>45082</v>
      </c>
      <c r="J21" s="27">
        <f>Настройки!J12</f>
        <v>45083</v>
      </c>
      <c r="K21" s="27">
        <f>Настройки!K12</f>
        <v>45084</v>
      </c>
      <c r="L21" s="27">
        <f>Настройки!L12</f>
        <v>45085</v>
      </c>
      <c r="M21" s="27">
        <f>Настройки!M12</f>
        <v>45086</v>
      </c>
      <c r="N21" s="27">
        <f>Настройки!N12</f>
        <v>45087</v>
      </c>
      <c r="O21" s="27">
        <f>Настройки!O12</f>
        <v>45088</v>
      </c>
      <c r="P21" s="27">
        <f>Настройки!P12</f>
        <v>45089</v>
      </c>
      <c r="Q21" s="27">
        <f>Настройки!Q12</f>
        <v>45090</v>
      </c>
      <c r="R21" s="27">
        <f>Настройки!R12</f>
        <v>45091</v>
      </c>
      <c r="S21" s="27">
        <f>Настройки!S12</f>
        <v>45092</v>
      </c>
      <c r="T21" s="27">
        <f>Настройки!T12</f>
        <v>45093</v>
      </c>
      <c r="U21" s="27">
        <f>Настройки!U12</f>
        <v>45094</v>
      </c>
      <c r="V21" s="27">
        <f>Настройки!V12</f>
        <v>45095</v>
      </c>
      <c r="W21" s="27">
        <f>Настройки!W12</f>
        <v>45096</v>
      </c>
      <c r="X21" s="27">
        <f>Настройки!X12</f>
        <v>45097</v>
      </c>
      <c r="Y21" s="27">
        <f>Настройки!Y12</f>
        <v>45098</v>
      </c>
      <c r="Z21" s="27">
        <f>Настройки!Z12</f>
        <v>45099</v>
      </c>
      <c r="AA21" s="27">
        <f>Настройки!AA12</f>
        <v>45100</v>
      </c>
      <c r="AB21" s="27">
        <f>Настройки!AB12</f>
        <v>45101</v>
      </c>
      <c r="AC21" s="27">
        <f>Настройки!AC12</f>
        <v>45102</v>
      </c>
      <c r="AD21" s="27">
        <f>Настройки!AD12</f>
        <v>45103</v>
      </c>
      <c r="AE21" s="27">
        <f>Настройки!AE12</f>
        <v>45104</v>
      </c>
      <c r="AF21" s="27">
        <f>Настройки!AF12</f>
        <v>45105</v>
      </c>
      <c r="AG21" s="27">
        <f>Настройки!AG12</f>
        <v>45106</v>
      </c>
      <c r="AH21" s="27">
        <f>Настройки!AH12</f>
        <v>45107</v>
      </c>
      <c r="AI21" s="39"/>
      <c r="AJ21" s="39"/>
    </row>
    <row r="22" spans="1:36" x14ac:dyDescent="0.25">
      <c r="A22" s="49"/>
      <c r="B22" s="49"/>
      <c r="C22" s="50"/>
      <c r="D22" s="52"/>
      <c r="E22" s="44" t="s">
        <v>54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69"/>
      <c r="AI22" s="39"/>
      <c r="AJ22" s="39"/>
    </row>
    <row r="23" spans="1:36" x14ac:dyDescent="0.25">
      <c r="A23" s="49"/>
      <c r="B23" s="49"/>
      <c r="C23" s="50"/>
      <c r="D23" s="5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71"/>
      <c r="AI23" s="39"/>
      <c r="AJ23" s="39"/>
    </row>
    <row r="24" spans="1:36" ht="23.25" customHeight="1" x14ac:dyDescent="0.25">
      <c r="A24" s="3" t="s">
        <v>65</v>
      </c>
      <c r="B24" s="2" t="s">
        <v>63</v>
      </c>
      <c r="C24" s="3" t="s">
        <v>64</v>
      </c>
      <c r="D24" s="9" t="s">
        <v>66</v>
      </c>
      <c r="E24" s="3" t="s">
        <v>89</v>
      </c>
      <c r="F24" s="3" t="s">
        <v>90</v>
      </c>
      <c r="G24" s="3" t="s">
        <v>91</v>
      </c>
      <c r="H24" s="3" t="s">
        <v>92</v>
      </c>
      <c r="I24" s="3" t="s">
        <v>93</v>
      </c>
      <c r="J24" s="3" t="s">
        <v>94</v>
      </c>
      <c r="K24" s="3" t="s">
        <v>95</v>
      </c>
      <c r="L24" s="3" t="s">
        <v>96</v>
      </c>
      <c r="M24" s="3" t="s">
        <v>97</v>
      </c>
      <c r="N24" s="3" t="s">
        <v>98</v>
      </c>
      <c r="O24" s="3" t="s">
        <v>99</v>
      </c>
      <c r="P24" s="3" t="s">
        <v>100</v>
      </c>
      <c r="Q24" s="3" t="s">
        <v>101</v>
      </c>
      <c r="R24" s="3" t="s">
        <v>102</v>
      </c>
      <c r="S24" s="3" t="s">
        <v>103</v>
      </c>
      <c r="T24" s="3" t="s">
        <v>104</v>
      </c>
      <c r="U24" s="3" t="s">
        <v>105</v>
      </c>
      <c r="V24" s="3" t="s">
        <v>106</v>
      </c>
      <c r="W24" s="3" t="s">
        <v>107</v>
      </c>
      <c r="X24" s="3" t="s">
        <v>108</v>
      </c>
      <c r="Y24" s="3" t="s">
        <v>109</v>
      </c>
      <c r="Z24" s="3" t="s">
        <v>110</v>
      </c>
      <c r="AA24" s="3" t="s">
        <v>111</v>
      </c>
      <c r="AB24" s="3" t="s">
        <v>112</v>
      </c>
      <c r="AC24" s="3" t="s">
        <v>113</v>
      </c>
      <c r="AD24" s="3" t="s">
        <v>114</v>
      </c>
      <c r="AE24" s="3" t="s">
        <v>115</v>
      </c>
      <c r="AF24" s="3" t="s">
        <v>116</v>
      </c>
      <c r="AG24" s="3" t="s">
        <v>117</v>
      </c>
      <c r="AH24" s="3" t="s">
        <v>118</v>
      </c>
      <c r="AI24" s="3" t="s">
        <v>68</v>
      </c>
      <c r="AJ24" s="3" t="s">
        <v>69</v>
      </c>
    </row>
    <row r="25" spans="1:36" ht="31.5" x14ac:dyDescent="0.25">
      <c r="A25" s="16" t="s">
        <v>1</v>
      </c>
      <c r="B25" s="2" t="s">
        <v>56</v>
      </c>
      <c r="C25" s="32">
        <v>60</v>
      </c>
      <c r="D25" s="11">
        <v>1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25" s="5">
        <f ca="1">IF(Июнь[[#This Row],[УСЛУГ]]&lt;&gt;"",Июнь[[#This Row],[УСЛУГ]]*Июнь[[#This Row],[Периодичность]],"")</f>
        <v>0</v>
      </c>
    </row>
    <row r="26" spans="1:36" x14ac:dyDescent="0.25">
      <c r="A26" s="16"/>
      <c r="B26" s="2"/>
      <c r="C26" s="32">
        <v>60</v>
      </c>
      <c r="D26" s="11">
        <v>2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26" s="5" t="str">
        <f ca="1">IF(Июнь[[#This Row],[УСЛУГ]]&lt;&gt;"",Июнь[[#This Row],[УСЛУГ]]*Июнь[[#This Row],[Периодичность]],"")</f>
        <v/>
      </c>
    </row>
    <row r="27" spans="1:36" x14ac:dyDescent="0.25">
      <c r="A27" s="16"/>
      <c r="B27" s="2"/>
      <c r="C27" s="32">
        <v>60</v>
      </c>
      <c r="D27" s="11">
        <v>3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27" s="5" t="str">
        <f ca="1">IF(Июнь[[#This Row],[УСЛУГ]]&lt;&gt;"",Июнь[[#This Row],[УСЛУГ]]*Июнь[[#This Row],[Периодичность]],"")</f>
        <v/>
      </c>
    </row>
    <row r="28" spans="1:36" ht="31.5" x14ac:dyDescent="0.25">
      <c r="A28" s="16" t="s">
        <v>3</v>
      </c>
      <c r="B28" s="2" t="s">
        <v>58</v>
      </c>
      <c r="C28" s="32">
        <v>10</v>
      </c>
      <c r="D28" s="11">
        <v>1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28" s="5">
        <f ca="1">IF(Июнь[[#This Row],[УСЛУГ]]&lt;&gt;"",Июнь[[#This Row],[УСЛУГ]]*Июнь[[#This Row],[Периодичность]],"")</f>
        <v>0</v>
      </c>
    </row>
    <row r="29" spans="1:36" x14ac:dyDescent="0.25">
      <c r="A29" s="16"/>
      <c r="B29" s="2"/>
      <c r="C29" s="32">
        <v>10</v>
      </c>
      <c r="D29" s="11">
        <v>2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29" s="5" t="str">
        <f ca="1">IF(Июнь[[#This Row],[УСЛУГ]]&lt;&gt;"",Июнь[[#This Row],[УСЛУГ]]*Июнь[[#This Row],[Периодичность]],"")</f>
        <v/>
      </c>
    </row>
    <row r="30" spans="1:36" x14ac:dyDescent="0.25">
      <c r="A30" s="16"/>
      <c r="B30" s="2"/>
      <c r="C30" s="32">
        <v>10</v>
      </c>
      <c r="D30" s="11">
        <v>3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30" s="5" t="str">
        <f ca="1">IF(Июнь[[#This Row],[УСЛУГ]]&lt;&gt;"",Июнь[[#This Row],[УСЛУГ]]*Июнь[[#This Row],[Периодичность]],"")</f>
        <v/>
      </c>
    </row>
    <row r="31" spans="1:36" x14ac:dyDescent="0.25">
      <c r="A31" s="16" t="s">
        <v>5</v>
      </c>
      <c r="B31" s="2" t="s">
        <v>58</v>
      </c>
      <c r="C31" s="32">
        <v>30</v>
      </c>
      <c r="D31" s="11">
        <v>1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31" s="5">
        <f ca="1">IF(Июнь[[#This Row],[УСЛУГ]]&lt;&gt;"",Июнь[[#This Row],[УСЛУГ]]*Июнь[[#This Row],[Периодичность]],"")</f>
        <v>0</v>
      </c>
    </row>
    <row r="32" spans="1:36" x14ac:dyDescent="0.25">
      <c r="A32" s="16"/>
      <c r="B32" s="2"/>
      <c r="C32" s="32">
        <v>30</v>
      </c>
      <c r="D32" s="11">
        <v>2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32" s="5" t="str">
        <f ca="1">IF(Июнь[[#This Row],[УСЛУГ]]&lt;&gt;"",Июнь[[#This Row],[УСЛУГ]]*Июнь[[#This Row],[Периодичность]],"")</f>
        <v/>
      </c>
    </row>
    <row r="33" spans="1:36" x14ac:dyDescent="0.25">
      <c r="A33" s="16"/>
      <c r="B33" s="2"/>
      <c r="C33" s="32">
        <v>30</v>
      </c>
      <c r="D33" s="11">
        <v>3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33" s="5" t="str">
        <f ca="1">IF(Июнь[[#This Row],[УСЛУГ]]&lt;&gt;"",Июнь[[#This Row],[УСЛУГ]]*Июнь[[#This Row],[Периодичность]],"")</f>
        <v/>
      </c>
    </row>
    <row r="34" spans="1:36" ht="47.25" x14ac:dyDescent="0.25">
      <c r="A34" s="16" t="s">
        <v>85</v>
      </c>
      <c r="B34" s="2" t="s">
        <v>58</v>
      </c>
      <c r="C34" s="32">
        <v>3</v>
      </c>
      <c r="D34" s="11">
        <v>1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34" s="5">
        <f ca="1">IF(Июнь[[#This Row],[УСЛУГ]]&lt;&gt;"",Июнь[[#This Row],[УСЛУГ]]*Июнь[[#This Row],[Периодичность]],"")</f>
        <v>0</v>
      </c>
    </row>
    <row r="35" spans="1:36" x14ac:dyDescent="0.25">
      <c r="A35" s="16"/>
      <c r="B35" s="2"/>
      <c r="C35" s="32">
        <v>3</v>
      </c>
      <c r="D35" s="11">
        <v>2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35" s="5" t="str">
        <f ca="1">IF(Июнь[[#This Row],[УСЛУГ]]&lt;&gt;"",Июнь[[#This Row],[УСЛУГ]]*Июнь[[#This Row],[Периодичность]],"")</f>
        <v/>
      </c>
    </row>
    <row r="36" spans="1:36" x14ac:dyDescent="0.25">
      <c r="A36" s="16"/>
      <c r="B36" s="2"/>
      <c r="C36" s="32">
        <v>3</v>
      </c>
      <c r="D36" s="11">
        <v>3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36" s="5" t="str">
        <f ca="1">IF(Июнь[[#This Row],[УСЛУГ]]&lt;&gt;"",Июнь[[#This Row],[УСЛУГ]]*Июнь[[#This Row],[Периодичность]],"")</f>
        <v/>
      </c>
    </row>
    <row r="37" spans="1:36" x14ac:dyDescent="0.25">
      <c r="A37" s="16" t="s">
        <v>8</v>
      </c>
      <c r="B37" s="2" t="s">
        <v>59</v>
      </c>
      <c r="C37" s="32">
        <v>15</v>
      </c>
      <c r="D37" s="11">
        <v>1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37" s="5">
        <f ca="1">IF(Июнь[[#This Row],[УСЛУГ]]&lt;&gt;"",Июнь[[#This Row],[УСЛУГ]]*Июнь[[#This Row],[Периодичность]],"")</f>
        <v>0</v>
      </c>
    </row>
    <row r="38" spans="1:36" x14ac:dyDescent="0.25">
      <c r="A38" s="16"/>
      <c r="B38" s="2"/>
      <c r="C38" s="32">
        <v>15</v>
      </c>
      <c r="D38" s="11">
        <v>2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38" s="5" t="str">
        <f ca="1">IF(Июнь[[#This Row],[УСЛУГ]]&lt;&gt;"",Июнь[[#This Row],[УСЛУГ]]*Июнь[[#This Row],[Периодичность]],"")</f>
        <v/>
      </c>
    </row>
    <row r="39" spans="1:36" x14ac:dyDescent="0.25">
      <c r="A39" s="16"/>
      <c r="B39" s="2"/>
      <c r="C39" s="32">
        <v>15</v>
      </c>
      <c r="D39" s="11">
        <v>3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39" s="5" t="str">
        <f ca="1">IF(Июнь[[#This Row],[УСЛУГ]]&lt;&gt;"",Июнь[[#This Row],[УСЛУГ]]*Июнь[[#This Row],[Периодичность]],"")</f>
        <v/>
      </c>
    </row>
    <row r="40" spans="1:36" ht="47.25" x14ac:dyDescent="0.25">
      <c r="A40" s="16" t="s">
        <v>84</v>
      </c>
      <c r="B40" s="2" t="s">
        <v>61</v>
      </c>
      <c r="C40" s="32">
        <v>49</v>
      </c>
      <c r="D40" s="11">
        <v>1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40" s="5">
        <f ca="1">IF(Июнь[[#This Row],[УСЛУГ]]&lt;&gt;"",Июнь[[#This Row],[УСЛУГ]]*Июнь[[#This Row],[Периодичность]],"")</f>
        <v>0</v>
      </c>
    </row>
    <row r="41" spans="1:36" x14ac:dyDescent="0.25">
      <c r="A41" s="16"/>
      <c r="B41" s="2"/>
      <c r="C41" s="32">
        <v>49</v>
      </c>
      <c r="D41" s="11">
        <v>2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41" s="5" t="str">
        <f ca="1">IF(Июнь[[#This Row],[УСЛУГ]]&lt;&gt;"",Июнь[[#This Row],[УСЛУГ]]*Июнь[[#This Row],[Периодичность]],"")</f>
        <v/>
      </c>
    </row>
    <row r="42" spans="1:36" x14ac:dyDescent="0.25">
      <c r="A42" s="16"/>
      <c r="B42" s="2"/>
      <c r="C42" s="32">
        <v>49</v>
      </c>
      <c r="D42" s="11">
        <v>3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42" s="5" t="str">
        <f ca="1">IF(Июнь[[#This Row],[УСЛУГ]]&lt;&gt;"",Июнь[[#This Row],[УСЛУГ]]*Июнь[[#This Row],[Периодичность]],"")</f>
        <v/>
      </c>
    </row>
    <row r="43" spans="1:36" ht="31.5" x14ac:dyDescent="0.25">
      <c r="A43" s="16" t="s">
        <v>13</v>
      </c>
      <c r="B43" s="2" t="s">
        <v>59</v>
      </c>
      <c r="C43" s="32">
        <v>12</v>
      </c>
      <c r="D43" s="11">
        <v>1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43" s="5">
        <f ca="1">IF(Июнь[[#This Row],[УСЛУГ]]&lt;&gt;"",Июнь[[#This Row],[УСЛУГ]]*Июнь[[#This Row],[Периодичность]],"")</f>
        <v>0</v>
      </c>
    </row>
    <row r="44" spans="1:36" x14ac:dyDescent="0.25">
      <c r="A44" s="16"/>
      <c r="B44" s="2"/>
      <c r="C44" s="32">
        <v>12</v>
      </c>
      <c r="D44" s="11">
        <v>2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44" s="5" t="str">
        <f ca="1">IF(Июнь[[#This Row],[УСЛУГ]]&lt;&gt;"",Июнь[[#This Row],[УСЛУГ]]*Июнь[[#This Row],[Периодичность]],"")</f>
        <v/>
      </c>
    </row>
    <row r="45" spans="1:36" x14ac:dyDescent="0.25">
      <c r="A45" s="16"/>
      <c r="B45" s="2"/>
      <c r="C45" s="32">
        <v>12</v>
      </c>
      <c r="D45" s="11">
        <v>3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45" s="5" t="str">
        <f ca="1">IF(Июнь[[#This Row],[УСЛУГ]]&lt;&gt;"",Июнь[[#This Row],[УСЛУГ]]*Июнь[[#This Row],[Периодичность]],"")</f>
        <v/>
      </c>
    </row>
    <row r="46" spans="1:36" x14ac:dyDescent="0.25">
      <c r="A46" s="16" t="s">
        <v>16</v>
      </c>
      <c r="B46" s="2" t="s">
        <v>59</v>
      </c>
      <c r="C46" s="32">
        <v>15</v>
      </c>
      <c r="D46" s="11">
        <v>1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46" s="5">
        <f ca="1">IF(Июнь[[#This Row],[УСЛУГ]]&lt;&gt;"",Июнь[[#This Row],[УСЛУГ]]*Июнь[[#This Row],[Периодичность]],"")</f>
        <v>0</v>
      </c>
    </row>
    <row r="47" spans="1:36" x14ac:dyDescent="0.25">
      <c r="A47" s="16"/>
      <c r="B47" s="2"/>
      <c r="C47" s="32">
        <v>15</v>
      </c>
      <c r="D47" s="11">
        <v>2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47" s="5" t="str">
        <f ca="1">IF(Июнь[[#This Row],[УСЛУГ]]&lt;&gt;"",Июнь[[#This Row],[УСЛУГ]]*Июнь[[#This Row],[Периодичность]],"")</f>
        <v/>
      </c>
    </row>
    <row r="48" spans="1:36" x14ac:dyDescent="0.25">
      <c r="A48" s="16"/>
      <c r="B48" s="2"/>
      <c r="C48" s="32">
        <v>15</v>
      </c>
      <c r="D48" s="11">
        <v>3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48" s="5" t="str">
        <f ca="1">IF(Июнь[[#This Row],[УСЛУГ]]&lt;&gt;"",Июнь[[#This Row],[УСЛУГ]]*Июнь[[#This Row],[Периодичность]],"")</f>
        <v/>
      </c>
    </row>
    <row r="49" spans="1:36" ht="31.5" x14ac:dyDescent="0.25">
      <c r="A49" s="16" t="s">
        <v>25</v>
      </c>
      <c r="B49" s="2" t="s">
        <v>59</v>
      </c>
      <c r="C49" s="32">
        <v>10</v>
      </c>
      <c r="D49" s="11">
        <v>1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49" s="5">
        <f ca="1">IF(Июнь[[#This Row],[УСЛУГ]]&lt;&gt;"",Июнь[[#This Row],[УСЛУГ]]*Июнь[[#This Row],[Периодичность]],"")</f>
        <v>0</v>
      </c>
    </row>
    <row r="50" spans="1:36" x14ac:dyDescent="0.25">
      <c r="A50" s="16"/>
      <c r="B50" s="2"/>
      <c r="C50" s="32">
        <v>10</v>
      </c>
      <c r="D50" s="11">
        <v>2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50" s="5" t="str">
        <f ca="1">IF(Июнь[[#This Row],[УСЛУГ]]&lt;&gt;"",Июнь[[#This Row],[УСЛУГ]]*Июнь[[#This Row],[Периодичность]],"")</f>
        <v/>
      </c>
    </row>
    <row r="51" spans="1:36" x14ac:dyDescent="0.25">
      <c r="A51" s="16"/>
      <c r="B51" s="2"/>
      <c r="C51" s="32">
        <v>10</v>
      </c>
      <c r="D51" s="11">
        <v>3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51" s="5" t="str">
        <f ca="1">IF(Июнь[[#This Row],[УСЛУГ]]&lt;&gt;"",Июнь[[#This Row],[УСЛУГ]]*Июнь[[#This Row],[Периодичность]],"")</f>
        <v/>
      </c>
    </row>
    <row r="52" spans="1:36" ht="31.5" x14ac:dyDescent="0.25">
      <c r="A52" s="16" t="s">
        <v>27</v>
      </c>
      <c r="B52" s="2" t="s">
        <v>59</v>
      </c>
      <c r="C52" s="32">
        <v>15</v>
      </c>
      <c r="D52" s="11">
        <v>1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52" s="5">
        <f ca="1">IF(Июнь[[#This Row],[УСЛУГ]]&lt;&gt;"",Июнь[[#This Row],[УСЛУГ]]*Июнь[[#This Row],[Периодичность]],"")</f>
        <v>0</v>
      </c>
    </row>
    <row r="53" spans="1:36" x14ac:dyDescent="0.25">
      <c r="A53" s="16"/>
      <c r="B53" s="2"/>
      <c r="C53" s="32">
        <v>15</v>
      </c>
      <c r="D53" s="11">
        <v>2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53" s="5" t="str">
        <f ca="1">IF(Июнь[[#This Row],[УСЛУГ]]&lt;&gt;"",Июнь[[#This Row],[УСЛУГ]]*Июнь[[#This Row],[Периодичность]],"")</f>
        <v/>
      </c>
    </row>
    <row r="54" spans="1:36" x14ac:dyDescent="0.25">
      <c r="A54" s="16"/>
      <c r="B54" s="2"/>
      <c r="C54" s="32">
        <v>15</v>
      </c>
      <c r="D54" s="11">
        <v>3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54" s="5" t="str">
        <f ca="1">IF(Июнь[[#This Row],[УСЛУГ]]&lt;&gt;"",Июнь[[#This Row],[УСЛУГ]]*Июнь[[#This Row],[Периодичность]],"")</f>
        <v/>
      </c>
    </row>
    <row r="55" spans="1:36" ht="31.5" x14ac:dyDescent="0.25">
      <c r="A55" s="16" t="s">
        <v>29</v>
      </c>
      <c r="B55" s="2" t="s">
        <v>61</v>
      </c>
      <c r="C55" s="32">
        <v>15</v>
      </c>
      <c r="D55" s="11">
        <v>1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55" s="5">
        <f ca="1">IF(Июнь[[#This Row],[УСЛУГ]]&lt;&gt;"",Июнь[[#This Row],[УСЛУГ]]*Июнь[[#This Row],[Периодичность]],"")</f>
        <v>0</v>
      </c>
    </row>
    <row r="56" spans="1:36" x14ac:dyDescent="0.25">
      <c r="A56" s="16"/>
      <c r="B56" s="2"/>
      <c r="C56" s="32">
        <v>15</v>
      </c>
      <c r="D56" s="11">
        <v>2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56" s="5" t="str">
        <f ca="1">IF(Июнь[[#This Row],[УСЛУГ]]&lt;&gt;"",Июнь[[#This Row],[УСЛУГ]]*Июнь[[#This Row],[Периодичность]],"")</f>
        <v/>
      </c>
    </row>
    <row r="57" spans="1:36" x14ac:dyDescent="0.25">
      <c r="A57" s="16"/>
      <c r="B57" s="2"/>
      <c r="C57" s="32">
        <v>15</v>
      </c>
      <c r="D57" s="11">
        <v>3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57" s="5" t="str">
        <f ca="1">IF(Июнь[[#This Row],[УСЛУГ]]&lt;&gt;"",Июнь[[#This Row],[УСЛУГ]]*Июнь[[#This Row],[Периодичность]],"")</f>
        <v/>
      </c>
    </row>
    <row r="58" spans="1:36" ht="47.25" x14ac:dyDescent="0.25">
      <c r="A58" s="16" t="s">
        <v>83</v>
      </c>
      <c r="B58" s="2" t="s">
        <v>58</v>
      </c>
      <c r="C58" s="32">
        <v>10</v>
      </c>
      <c r="D58" s="11">
        <v>1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58" s="5">
        <f ca="1">IF(Июнь[[#This Row],[УСЛУГ]]&lt;&gt;"",Июнь[[#This Row],[УСЛУГ]]*Июнь[[#This Row],[Периодичность]],"")</f>
        <v>0</v>
      </c>
    </row>
    <row r="59" spans="1:36" x14ac:dyDescent="0.25">
      <c r="A59" s="16"/>
      <c r="B59" s="2"/>
      <c r="C59" s="32">
        <v>10</v>
      </c>
      <c r="D59" s="11">
        <v>2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59" s="5" t="str">
        <f ca="1">IF(Июнь[[#This Row],[УСЛУГ]]&lt;&gt;"",Июнь[[#This Row],[УСЛУГ]]*Июнь[[#This Row],[Периодичность]],"")</f>
        <v/>
      </c>
    </row>
    <row r="60" spans="1:36" x14ac:dyDescent="0.25">
      <c r="A60" s="16"/>
      <c r="B60" s="2"/>
      <c r="C60" s="32">
        <v>10</v>
      </c>
      <c r="D60" s="11">
        <v>3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60" s="5" t="str">
        <f ca="1">IF(Июнь[[#This Row],[УСЛУГ]]&lt;&gt;"",Июнь[[#This Row],[УСЛУГ]]*Июнь[[#This Row],[Периодичность]],"")</f>
        <v/>
      </c>
    </row>
    <row r="61" spans="1:36" ht="47.25" x14ac:dyDescent="0.25">
      <c r="A61" s="16" t="s">
        <v>82</v>
      </c>
      <c r="B61" s="2" t="s">
        <v>59</v>
      </c>
      <c r="C61" s="32">
        <v>10</v>
      </c>
      <c r="D61" s="11">
        <v>1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61" s="5">
        <f ca="1">IF(Июнь[[#This Row],[УСЛУГ]]&lt;&gt;"",Июнь[[#This Row],[УСЛУГ]]*Июнь[[#This Row],[Периодичность]],"")</f>
        <v>0</v>
      </c>
    </row>
    <row r="62" spans="1:36" x14ac:dyDescent="0.25">
      <c r="A62" s="16"/>
      <c r="B62" s="2"/>
      <c r="C62" s="32">
        <v>10</v>
      </c>
      <c r="D62" s="11">
        <v>2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62" s="5" t="str">
        <f ca="1">IF(Июнь[[#This Row],[УСЛУГ]]&lt;&gt;"",Июнь[[#This Row],[УСЛУГ]]*Июнь[[#This Row],[Периодичность]],"")</f>
        <v/>
      </c>
    </row>
    <row r="63" spans="1:36" x14ac:dyDescent="0.25">
      <c r="A63" s="16"/>
      <c r="B63" s="2"/>
      <c r="C63" s="32">
        <v>10</v>
      </c>
      <c r="D63" s="11">
        <v>3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63" s="5" t="str">
        <f ca="1">IF(Июнь[[#This Row],[УСЛУГ]]&lt;&gt;"",Июнь[[#This Row],[УСЛУГ]]*Июнь[[#This Row],[Периодичность]],"")</f>
        <v/>
      </c>
    </row>
    <row r="64" spans="1:36" ht="31.5" x14ac:dyDescent="0.25">
      <c r="A64" s="16" t="s">
        <v>37</v>
      </c>
      <c r="B64" s="2" t="s">
        <v>60</v>
      </c>
      <c r="C64" s="32">
        <v>5</v>
      </c>
      <c r="D64" s="11">
        <v>1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64" s="5">
        <f ca="1">IF(Июнь[[#This Row],[УСЛУГ]]&lt;&gt;"",Июнь[[#This Row],[УСЛУГ]]*Июнь[[#This Row],[Периодичность]],"")</f>
        <v>0</v>
      </c>
    </row>
    <row r="65" spans="1:36" x14ac:dyDescent="0.25">
      <c r="A65" s="16"/>
      <c r="B65" s="2"/>
      <c r="C65" s="32">
        <v>5</v>
      </c>
      <c r="D65" s="11">
        <v>2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65" s="5" t="str">
        <f ca="1">IF(Июнь[[#This Row],[УСЛУГ]]&lt;&gt;"",Июнь[[#This Row],[УСЛУГ]]*Июнь[[#This Row],[Периодичность]],"")</f>
        <v/>
      </c>
    </row>
    <row r="66" spans="1:36" x14ac:dyDescent="0.25">
      <c r="A66" s="16"/>
      <c r="B66" s="2"/>
      <c r="C66" s="32">
        <v>5</v>
      </c>
      <c r="D66" s="11">
        <v>3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66" s="5" t="str">
        <f ca="1">IF(Июнь[[#This Row],[УСЛУГ]]&lt;&gt;"",Июнь[[#This Row],[УСЛУГ]]*Июнь[[#This Row],[Периодичность]],"")</f>
        <v/>
      </c>
    </row>
    <row r="67" spans="1:36" x14ac:dyDescent="0.25">
      <c r="A67" s="16" t="s">
        <v>38</v>
      </c>
      <c r="B67" s="2" t="s">
        <v>59</v>
      </c>
      <c r="C67" s="32">
        <v>7</v>
      </c>
      <c r="D67" s="11">
        <v>1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67" s="5">
        <f ca="1">IF(Июнь[[#This Row],[УСЛУГ]]&lt;&gt;"",Июнь[[#This Row],[УСЛУГ]]*Июнь[[#This Row],[Периодичность]],"")</f>
        <v>0</v>
      </c>
    </row>
    <row r="68" spans="1:36" x14ac:dyDescent="0.25">
      <c r="A68" s="16"/>
      <c r="B68" s="2"/>
      <c r="C68" s="32">
        <v>7</v>
      </c>
      <c r="D68" s="11">
        <v>2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68" s="5" t="str">
        <f ca="1">IF(Июнь[[#This Row],[УСЛУГ]]&lt;&gt;"",Июнь[[#This Row],[УСЛУГ]]*Июнь[[#This Row],[Периодичность]],"")</f>
        <v/>
      </c>
    </row>
    <row r="69" spans="1:36" x14ac:dyDescent="0.25">
      <c r="A69" s="16"/>
      <c r="B69" s="2"/>
      <c r="C69" s="32">
        <v>7</v>
      </c>
      <c r="D69" s="11">
        <v>3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69" s="5" t="str">
        <f ca="1">IF(Июнь[[#This Row],[УСЛУГ]]&lt;&gt;"",Июнь[[#This Row],[УСЛУГ]]*Июнь[[#This Row],[Периодичность]],"")</f>
        <v/>
      </c>
    </row>
    <row r="70" spans="1:36" ht="47.25" x14ac:dyDescent="0.25">
      <c r="A70" s="16" t="s">
        <v>81</v>
      </c>
      <c r="B70" s="2" t="s">
        <v>59</v>
      </c>
      <c r="C70" s="32">
        <v>5</v>
      </c>
      <c r="D70" s="11">
        <v>1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70" s="5">
        <f ca="1">IF(Июнь[[#This Row],[УСЛУГ]]&lt;&gt;"",Июнь[[#This Row],[УСЛУГ]]*Июнь[[#This Row],[Периодичность]],"")</f>
        <v>0</v>
      </c>
    </row>
    <row r="71" spans="1:36" x14ac:dyDescent="0.25">
      <c r="A71" s="16"/>
      <c r="B71" s="2"/>
      <c r="C71" s="32">
        <v>5</v>
      </c>
      <c r="D71" s="11">
        <v>2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71" s="5" t="str">
        <f ca="1">IF(Июнь[[#This Row],[УСЛУГ]]&lt;&gt;"",Июнь[[#This Row],[УСЛУГ]]*Июнь[[#This Row],[Периодичность]],"")</f>
        <v/>
      </c>
    </row>
    <row r="72" spans="1:36" x14ac:dyDescent="0.25">
      <c r="A72" s="16"/>
      <c r="B72" s="2"/>
      <c r="C72" s="32">
        <v>5</v>
      </c>
      <c r="D72" s="11">
        <v>3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72" s="5" t="str">
        <f ca="1">IF(Июнь[[#This Row],[УСЛУГ]]&lt;&gt;"",Июнь[[#This Row],[УСЛУГ]]*Июнь[[#This Row],[Периодичность]],"")</f>
        <v/>
      </c>
    </row>
    <row r="73" spans="1:36" ht="47.25" x14ac:dyDescent="0.25">
      <c r="A73" s="16" t="s">
        <v>80</v>
      </c>
      <c r="B73" s="2" t="s">
        <v>59</v>
      </c>
      <c r="C73" s="32">
        <v>5</v>
      </c>
      <c r="D73" s="11">
        <v>1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73" s="5">
        <f ca="1">IF(Июнь[[#This Row],[УСЛУГ]]&lt;&gt;"",Июнь[[#This Row],[УСЛУГ]]*Июнь[[#This Row],[Периодичность]],"")</f>
        <v>0</v>
      </c>
    </row>
    <row r="74" spans="1:36" x14ac:dyDescent="0.25">
      <c r="A74" s="16"/>
      <c r="B74" s="2"/>
      <c r="C74" s="32">
        <v>5</v>
      </c>
      <c r="D74" s="11">
        <v>2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74" s="5" t="str">
        <f ca="1">IF(Июнь[[#This Row],[УСЛУГ]]&lt;&gt;"",Июнь[[#This Row],[УСЛУГ]]*Июнь[[#This Row],[Периодичность]],"")</f>
        <v/>
      </c>
    </row>
    <row r="75" spans="1:36" x14ac:dyDescent="0.25">
      <c r="A75" s="16"/>
      <c r="B75" s="2"/>
      <c r="C75" s="32">
        <v>5</v>
      </c>
      <c r="D75" s="11">
        <v>3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75" s="5" t="str">
        <f ca="1">IF(Июнь[[#This Row],[УСЛУГ]]&lt;&gt;"",Июнь[[#This Row],[УСЛУГ]]*Июнь[[#This Row],[Периодичность]],"")</f>
        <v/>
      </c>
    </row>
    <row r="76" spans="1:36" ht="47.25" x14ac:dyDescent="0.25">
      <c r="A76" s="16" t="s">
        <v>79</v>
      </c>
      <c r="B76" s="2" t="s">
        <v>57</v>
      </c>
      <c r="C76" s="32">
        <v>45</v>
      </c>
      <c r="D76" s="11">
        <v>1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76" s="5">
        <f ca="1">IF(Июнь[[#This Row],[УСЛУГ]]&lt;&gt;"",Июнь[[#This Row],[УСЛУГ]]*Июнь[[#This Row],[Периодичность]],"")</f>
        <v>0</v>
      </c>
    </row>
    <row r="77" spans="1:36" x14ac:dyDescent="0.25">
      <c r="A77" s="16"/>
      <c r="B77" s="2"/>
      <c r="C77" s="32">
        <v>45</v>
      </c>
      <c r="D77" s="11">
        <v>2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77" s="5" t="str">
        <f ca="1">IF(Июнь[[#This Row],[УСЛУГ]]&lt;&gt;"",Июнь[[#This Row],[УСЛУГ]]*Июнь[[#This Row],[Периодичность]],"")</f>
        <v/>
      </c>
    </row>
    <row r="78" spans="1:36" x14ac:dyDescent="0.25">
      <c r="A78" s="16"/>
      <c r="B78" s="2"/>
      <c r="C78" s="32">
        <v>45</v>
      </c>
      <c r="D78" s="11">
        <v>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78" s="5" t="str">
        <f ca="1">IF(Июнь[[#This Row],[УСЛУГ]]&lt;&gt;"",Июнь[[#This Row],[УСЛУГ]]*Июнь[[#This Row],[Периодичность]],"")</f>
        <v/>
      </c>
    </row>
    <row r="79" spans="1:36" ht="47.25" x14ac:dyDescent="0.25">
      <c r="A79" s="16" t="s">
        <v>78</v>
      </c>
      <c r="B79" s="2" t="s">
        <v>59</v>
      </c>
      <c r="C79" s="32">
        <v>10</v>
      </c>
      <c r="D79" s="11">
        <v>1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79" s="5">
        <f ca="1">IF(Июнь[[#This Row],[УСЛУГ]]&lt;&gt;"",Июнь[[#This Row],[УСЛУГ]]*Июнь[[#This Row],[Периодичность]],"")</f>
        <v>0</v>
      </c>
    </row>
    <row r="80" spans="1:36" x14ac:dyDescent="0.25">
      <c r="A80" s="16"/>
      <c r="B80" s="2"/>
      <c r="C80" s="32">
        <v>10</v>
      </c>
      <c r="D80" s="11">
        <v>2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80" s="5" t="str">
        <f ca="1">IF(Июнь[[#This Row],[УСЛУГ]]&lt;&gt;"",Июнь[[#This Row],[УСЛУГ]]*Июнь[[#This Row],[Периодичность]],"")</f>
        <v/>
      </c>
    </row>
    <row r="81" spans="1:36" x14ac:dyDescent="0.25">
      <c r="A81" s="16"/>
      <c r="B81" s="2"/>
      <c r="C81" s="32">
        <v>10</v>
      </c>
      <c r="D81" s="11">
        <v>3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81" s="5" t="str">
        <f ca="1">IF(Июнь[[#This Row],[УСЛУГ]]&lt;&gt;"",Июнь[[#This Row],[УСЛУГ]]*Июнь[[#This Row],[Периодичность]],"")</f>
        <v/>
      </c>
    </row>
    <row r="84" spans="1:36" x14ac:dyDescent="0.25">
      <c r="A84" s="34"/>
      <c r="B84" s="34"/>
      <c r="C84" s="34"/>
    </row>
    <row r="85" spans="1:36" x14ac:dyDescent="0.25">
      <c r="A85" s="35"/>
      <c r="B85" s="36"/>
      <c r="C85" s="36"/>
    </row>
    <row r="86" spans="1:36" x14ac:dyDescent="0.25">
      <c r="A86" s="35"/>
      <c r="B86" s="36"/>
      <c r="C86" s="36"/>
    </row>
    <row r="87" spans="1:36" x14ac:dyDescent="0.25">
      <c r="A87" s="35"/>
      <c r="B87" s="36"/>
      <c r="C87" s="36"/>
    </row>
    <row r="88" spans="1:36" x14ac:dyDescent="0.25">
      <c r="A88" s="35"/>
      <c r="B88" s="36"/>
      <c r="C88" s="36"/>
    </row>
    <row r="89" spans="1:36" x14ac:dyDescent="0.25">
      <c r="A89" s="35"/>
      <c r="B89" s="36"/>
      <c r="C89" s="36"/>
    </row>
    <row r="90" spans="1:36" x14ac:dyDescent="0.25">
      <c r="A90" s="35"/>
      <c r="B90" s="36"/>
      <c r="C90" s="36"/>
    </row>
    <row r="91" spans="1:36" x14ac:dyDescent="0.25">
      <c r="A91" s="35"/>
      <c r="B91" s="36"/>
      <c r="C91" s="36"/>
    </row>
    <row r="92" spans="1:36" x14ac:dyDescent="0.25">
      <c r="A92" s="35"/>
      <c r="B92" s="36"/>
      <c r="C92" s="36"/>
    </row>
    <row r="93" spans="1:36" x14ac:dyDescent="0.25">
      <c r="A93" s="35"/>
      <c r="B93" s="36"/>
      <c r="C93" s="36"/>
    </row>
    <row r="94" spans="1:36" x14ac:dyDescent="0.25">
      <c r="A94" s="35"/>
      <c r="B94" s="36"/>
      <c r="C94" s="36"/>
    </row>
    <row r="95" spans="1:36" x14ac:dyDescent="0.25">
      <c r="A95" s="35"/>
      <c r="B95" s="36"/>
      <c r="C95" s="36"/>
    </row>
    <row r="96" spans="1:36" x14ac:dyDescent="0.25">
      <c r="A96" s="35"/>
      <c r="B96" s="36"/>
      <c r="C96" s="36"/>
    </row>
    <row r="97" spans="1:3" x14ac:dyDescent="0.25">
      <c r="A97" s="35"/>
      <c r="B97" s="36"/>
      <c r="C97" s="36"/>
    </row>
    <row r="98" spans="1:3" x14ac:dyDescent="0.25">
      <c r="A98" s="35"/>
      <c r="B98" s="36"/>
      <c r="C98" s="36"/>
    </row>
    <row r="99" spans="1:3" x14ac:dyDescent="0.25">
      <c r="A99" s="35"/>
      <c r="B99" s="36"/>
      <c r="C99" s="36"/>
    </row>
    <row r="100" spans="1:3" x14ac:dyDescent="0.25">
      <c r="A100" s="35"/>
      <c r="B100" s="36"/>
      <c r="C100" s="36"/>
    </row>
    <row r="101" spans="1:3" x14ac:dyDescent="0.25">
      <c r="A101" s="35"/>
      <c r="B101" s="36"/>
      <c r="C101" s="36"/>
    </row>
    <row r="102" spans="1:3" x14ac:dyDescent="0.25">
      <c r="A102" s="35"/>
      <c r="B102" s="36"/>
      <c r="C102" s="36"/>
    </row>
    <row r="103" spans="1:3" x14ac:dyDescent="0.25">
      <c r="A103" s="35"/>
      <c r="B103" s="36"/>
      <c r="C103" s="36"/>
    </row>
    <row r="104" spans="1:3" x14ac:dyDescent="0.25">
      <c r="A104" s="35"/>
      <c r="B104" s="36"/>
      <c r="C104" s="36"/>
    </row>
    <row r="105" spans="1:3" x14ac:dyDescent="0.25">
      <c r="A105" s="34"/>
      <c r="B105" s="34"/>
      <c r="C105" s="34"/>
    </row>
  </sheetData>
  <mergeCells count="20">
    <mergeCell ref="AJ7:AJ11"/>
    <mergeCell ref="E10:AH11"/>
    <mergeCell ref="A19:A23"/>
    <mergeCell ref="B19:C23"/>
    <mergeCell ref="D19:D23"/>
    <mergeCell ref="E19:AH20"/>
    <mergeCell ref="AI19:AI23"/>
    <mergeCell ref="AJ19:AJ23"/>
    <mergeCell ref="E22:AH23"/>
    <mergeCell ref="A7:A11"/>
    <mergeCell ref="B7:B11"/>
    <mergeCell ref="C7:C11"/>
    <mergeCell ref="D7:D11"/>
    <mergeCell ref="E7:AH8"/>
    <mergeCell ref="AI7:AI11"/>
    <mergeCell ref="A2:AJ2"/>
    <mergeCell ref="A3:AJ3"/>
    <mergeCell ref="J4:L4"/>
    <mergeCell ref="M4:U4"/>
    <mergeCell ref="M5:Q5"/>
  </mergeCells>
  <conditionalFormatting sqref="E9:AH9">
    <cfRule type="expression" dxfId="686" priority="2">
      <formula>WEEKDAY(E9:AH9,2)&gt;5</formula>
    </cfRule>
  </conditionalFormatting>
  <conditionalFormatting sqref="E21:AH21">
    <cfRule type="expression" dxfId="685" priority="1">
      <formula>WEEKDAY(E21:AH21,2)&gt;5</formula>
    </cfRule>
  </conditionalFormatting>
  <dataValidations count="2">
    <dataValidation type="list" allowBlank="1" showInputMessage="1" showErrorMessage="1" sqref="D25:D81">
      <formula1>INDIRECT("Посещения")</formula1>
    </dataValidation>
    <dataValidation type="list" allowBlank="1" showInputMessage="1" showErrorMessage="1" sqref="A25:A81">
      <formula1>INDIRECT("Услуги[Кратко]")</formula1>
    </dataValidation>
  </dataValidations>
  <pageMargins left="0.25" right="0.25" top="0.75" bottom="0.75" header="0.3" footer="0.3"/>
  <pageSetup paperSize="9" scale="45" fitToHeight="0" orientation="landscape" horizontalDpi="300" verticalDpi="300" r:id="rId1"/>
  <ignoredErrors>
    <ignoredError sqref="E13:E17 B13:B17 AI17:AJ17 C25:C81" calculatedColumn="1"/>
  </ignoredErrors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81"/>
  <sheetViews>
    <sheetView zoomScale="80" zoomScaleNormal="80" workbookViewId="0">
      <selection activeCell="B5" sqref="B5"/>
    </sheetView>
  </sheetViews>
  <sheetFormatPr defaultRowHeight="15.75" x14ac:dyDescent="0.25"/>
  <cols>
    <col min="1" max="1" width="21.42578125" style="3" customWidth="1"/>
    <col min="2" max="2" width="14.28515625" style="3" customWidth="1"/>
    <col min="3" max="3" width="17.7109375" style="3" customWidth="1"/>
    <col min="4" max="4" width="9.28515625" style="3" customWidth="1"/>
    <col min="5" max="5" width="6.85546875" style="3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8" ht="18.75" x14ac:dyDescent="0.25">
      <c r="A2" s="60" t="s">
        <v>72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</row>
    <row r="3" spans="1:38" ht="18.75" x14ac:dyDescent="0.25">
      <c r="A3" s="60" t="s">
        <v>73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</row>
    <row r="4" spans="1:38" ht="18.75" x14ac:dyDescent="0.25">
      <c r="I4" s="13"/>
      <c r="J4" s="61" t="s">
        <v>74</v>
      </c>
      <c r="K4" s="61"/>
      <c r="L4" s="61"/>
      <c r="M4" s="62"/>
      <c r="N4" s="54"/>
      <c r="O4" s="54"/>
      <c r="P4" s="54"/>
      <c r="Q4" s="54"/>
      <c r="R4" s="54"/>
      <c r="S4" s="54"/>
      <c r="T4" s="54"/>
      <c r="U4" s="54"/>
    </row>
    <row r="5" spans="1:38" ht="18.75" x14ac:dyDescent="0.25">
      <c r="L5" s="12" t="s">
        <v>75</v>
      </c>
      <c r="M5" s="63" t="s">
        <v>86</v>
      </c>
      <c r="N5" s="64"/>
      <c r="O5" s="64"/>
      <c r="P5" s="64"/>
      <c r="Q5" s="64"/>
      <c r="R5" s="37">
        <f>Год[Год]</f>
        <v>2023</v>
      </c>
      <c r="S5" s="38" t="s">
        <v>138</v>
      </c>
      <c r="T5" s="14"/>
      <c r="U5" s="14"/>
    </row>
    <row r="6" spans="1:38" ht="17.25" customHeight="1" x14ac:dyDescent="0.25"/>
    <row r="7" spans="1:38" ht="26.25" customHeight="1" x14ac:dyDescent="0.25">
      <c r="A7" s="49"/>
      <c r="B7" s="57" t="s">
        <v>121</v>
      </c>
      <c r="C7" s="57" t="s">
        <v>120</v>
      </c>
      <c r="D7" s="58" t="s">
        <v>67</v>
      </c>
      <c r="E7" s="43" t="s">
        <v>55</v>
      </c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5"/>
      <c r="AJ7" s="39" t="s">
        <v>70</v>
      </c>
      <c r="AK7" s="40" t="s">
        <v>70</v>
      </c>
    </row>
    <row r="8" spans="1:38" x14ac:dyDescent="0.25">
      <c r="A8" s="49"/>
      <c r="B8" s="52"/>
      <c r="C8" s="52"/>
      <c r="D8" s="59"/>
      <c r="E8" s="53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5"/>
      <c r="AJ8" s="39"/>
      <c r="AK8" s="41"/>
    </row>
    <row r="9" spans="1:38" x14ac:dyDescent="0.25">
      <c r="A9" s="49"/>
      <c r="B9" s="52"/>
      <c r="C9" s="52"/>
      <c r="D9" s="59"/>
      <c r="E9" s="23">
        <f>Настройки!E13</f>
        <v>45108</v>
      </c>
      <c r="F9" s="23">
        <f>Настройки!F13</f>
        <v>45109</v>
      </c>
      <c r="G9" s="23">
        <f>Настройки!G13</f>
        <v>45110</v>
      </c>
      <c r="H9" s="23">
        <f>Настройки!H13</f>
        <v>45111</v>
      </c>
      <c r="I9" s="23">
        <f>Настройки!I13</f>
        <v>45112</v>
      </c>
      <c r="J9" s="23">
        <f>Настройки!J13</f>
        <v>45113</v>
      </c>
      <c r="K9" s="23">
        <f>Настройки!K13</f>
        <v>45114</v>
      </c>
      <c r="L9" s="23">
        <f>Настройки!L13</f>
        <v>45115</v>
      </c>
      <c r="M9" s="23">
        <f>Настройки!M13</f>
        <v>45116</v>
      </c>
      <c r="N9" s="23">
        <f>Настройки!N13</f>
        <v>45117</v>
      </c>
      <c r="O9" s="23">
        <f>Настройки!O13</f>
        <v>45118</v>
      </c>
      <c r="P9" s="23">
        <f>Настройки!P13</f>
        <v>45119</v>
      </c>
      <c r="Q9" s="23">
        <f>Настройки!Q13</f>
        <v>45120</v>
      </c>
      <c r="R9" s="23">
        <f>Настройки!R13</f>
        <v>45121</v>
      </c>
      <c r="S9" s="23">
        <f>Настройки!S13</f>
        <v>45122</v>
      </c>
      <c r="T9" s="23">
        <f>Настройки!T13</f>
        <v>45123</v>
      </c>
      <c r="U9" s="23">
        <f>Настройки!U13</f>
        <v>45124</v>
      </c>
      <c r="V9" s="23">
        <f>Настройки!V13</f>
        <v>45125</v>
      </c>
      <c r="W9" s="23">
        <f>Настройки!W13</f>
        <v>45126</v>
      </c>
      <c r="X9" s="23">
        <f>Настройки!X13</f>
        <v>45127</v>
      </c>
      <c r="Y9" s="23">
        <f>Настройки!Y13</f>
        <v>45128</v>
      </c>
      <c r="Z9" s="23">
        <f>Настройки!Z13</f>
        <v>45129</v>
      </c>
      <c r="AA9" s="23">
        <f>Настройки!AA13</f>
        <v>45130</v>
      </c>
      <c r="AB9" s="23">
        <f>Настройки!AB13</f>
        <v>45131</v>
      </c>
      <c r="AC9" s="23">
        <f>Настройки!AC13</f>
        <v>45132</v>
      </c>
      <c r="AD9" s="23">
        <f>Настройки!AD13</f>
        <v>45133</v>
      </c>
      <c r="AE9" s="23">
        <f>Настройки!AE13</f>
        <v>45134</v>
      </c>
      <c r="AF9" s="23">
        <f>Настройки!AF13</f>
        <v>45135</v>
      </c>
      <c r="AG9" s="23">
        <f>Настройки!AG13</f>
        <v>45136</v>
      </c>
      <c r="AH9" s="23">
        <f>Настройки!AH13</f>
        <v>45137</v>
      </c>
      <c r="AI9" s="23">
        <f>Настройки!AI13</f>
        <v>45138</v>
      </c>
      <c r="AJ9" s="39"/>
      <c r="AK9" s="41"/>
    </row>
    <row r="10" spans="1:38" x14ac:dyDescent="0.25">
      <c r="A10" s="49"/>
      <c r="B10" s="52"/>
      <c r="C10" s="52"/>
      <c r="D10" s="59"/>
      <c r="E10" s="43" t="s">
        <v>54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5"/>
      <c r="AJ10" s="39"/>
      <c r="AK10" s="41"/>
    </row>
    <row r="11" spans="1:38" x14ac:dyDescent="0.25">
      <c r="A11" s="57"/>
      <c r="B11" s="52"/>
      <c r="C11" s="52"/>
      <c r="D11" s="59"/>
      <c r="E11" s="46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8"/>
      <c r="AJ11" s="39"/>
      <c r="AK11" s="42"/>
    </row>
    <row r="12" spans="1:38" ht="22.5" customHeight="1" x14ac:dyDescent="0.25">
      <c r="A12" s="3" t="s">
        <v>88</v>
      </c>
      <c r="B12" s="3" t="s">
        <v>87</v>
      </c>
      <c r="C12" s="3" t="s">
        <v>119</v>
      </c>
      <c r="D12" s="9" t="s">
        <v>66</v>
      </c>
      <c r="E12" s="3" t="s">
        <v>89</v>
      </c>
      <c r="F12" s="3" t="s">
        <v>90</v>
      </c>
      <c r="G12" s="3" t="s">
        <v>91</v>
      </c>
      <c r="H12" s="3" t="s">
        <v>92</v>
      </c>
      <c r="I12" s="3" t="s">
        <v>93</v>
      </c>
      <c r="J12" s="3" t="s">
        <v>94</v>
      </c>
      <c r="K12" s="3" t="s">
        <v>95</v>
      </c>
      <c r="L12" s="3" t="s">
        <v>96</v>
      </c>
      <c r="M12" s="3" t="s">
        <v>97</v>
      </c>
      <c r="N12" s="3" t="s">
        <v>98</v>
      </c>
      <c r="O12" s="3" t="s">
        <v>99</v>
      </c>
      <c r="P12" s="3" t="s">
        <v>100</v>
      </c>
      <c r="Q12" s="3" t="s">
        <v>101</v>
      </c>
      <c r="R12" s="3" t="s">
        <v>102</v>
      </c>
      <c r="S12" s="3" t="s">
        <v>103</v>
      </c>
      <c r="T12" s="3" t="s">
        <v>104</v>
      </c>
      <c r="U12" s="3" t="s">
        <v>105</v>
      </c>
      <c r="V12" s="3" t="s">
        <v>106</v>
      </c>
      <c r="W12" s="3" t="s">
        <v>107</v>
      </c>
      <c r="X12" s="3" t="s">
        <v>108</v>
      </c>
      <c r="Y12" s="3" t="s">
        <v>109</v>
      </c>
      <c r="Z12" s="3" t="s">
        <v>110</v>
      </c>
      <c r="AA12" s="3" t="s">
        <v>111</v>
      </c>
      <c r="AB12" s="3" t="s">
        <v>112</v>
      </c>
      <c r="AC12" s="3" t="s">
        <v>113</v>
      </c>
      <c r="AD12" s="3" t="s">
        <v>114</v>
      </c>
      <c r="AE12" s="3" t="s">
        <v>115</v>
      </c>
      <c r="AF12" s="3" t="s">
        <v>116</v>
      </c>
      <c r="AG12" s="3" t="s">
        <v>117</v>
      </c>
      <c r="AH12" s="3" t="s">
        <v>118</v>
      </c>
      <c r="AI12" s="3" t="s">
        <v>127</v>
      </c>
      <c r="AJ12" s="3" t="s">
        <v>68</v>
      </c>
      <c r="AK12" s="3" t="s">
        <v>69</v>
      </c>
      <c r="AL12" s="4"/>
    </row>
    <row r="13" spans="1:38" x14ac:dyDescent="0.25">
      <c r="A13" s="5" t="s">
        <v>62</v>
      </c>
      <c r="B13" s="3">
        <f>SUMPRODUCT((Настройки!$E$27:$AI$27=1)*E16:AI16)</f>
        <v>0</v>
      </c>
      <c r="D13" s="5">
        <v>1</v>
      </c>
      <c r="E13" s="30">
        <f>SUMPRODUCT((Июль[№]=1)*Июль[1],Июль[Периодичность])</f>
        <v>0</v>
      </c>
      <c r="F13" s="30">
        <f>SUMPRODUCT((Июль[№]=1)*Июль[2],Июль[Периодичность])</f>
        <v>0</v>
      </c>
      <c r="G13" s="30">
        <f>SUMPRODUCT((Июль[№]=1)*Июль[3],Июль[Периодичность])</f>
        <v>0</v>
      </c>
      <c r="H13" s="30">
        <f>SUMPRODUCT((Июль[№]=1)*Июль[4],Июль[Периодичность])</f>
        <v>0</v>
      </c>
      <c r="I13" s="30">
        <f>SUMPRODUCT((Июль[№]=1)*Июль[5],Июль[Периодичность])</f>
        <v>0</v>
      </c>
      <c r="J13" s="30">
        <f>SUMPRODUCT((Июль[№]=1)*Июль[6],Июль[Периодичность])</f>
        <v>0</v>
      </c>
      <c r="K13" s="30">
        <f>SUMPRODUCT((Июль[№]=1)*Июль[7],Июль[Периодичность])</f>
        <v>0</v>
      </c>
      <c r="L13" s="30">
        <f>SUMPRODUCT((Июль[№]=1)*Июль[8],Июль[Периодичность])</f>
        <v>0</v>
      </c>
      <c r="M13" s="30">
        <f>SUMPRODUCT((Июль[№]=1)*Июль[9],Июль[Периодичность])</f>
        <v>0</v>
      </c>
      <c r="N13" s="30">
        <f>SUMPRODUCT((Июль[№]=1)*Июль[10],Июль[Периодичность])</f>
        <v>0</v>
      </c>
      <c r="O13" s="30">
        <f>SUMPRODUCT((Июль[№]=1)*Июль[11],Июль[Периодичность])</f>
        <v>0</v>
      </c>
      <c r="P13" s="30">
        <f>SUMPRODUCT((Июль[№]=1)*Июль[12],Июль[Периодичность])</f>
        <v>0</v>
      </c>
      <c r="Q13" s="30">
        <f>SUMPRODUCT((Июль[№]=1)*Июль[13],Июль[Периодичность])</f>
        <v>0</v>
      </c>
      <c r="R13" s="30">
        <f>SUMPRODUCT((Июль[№]=1)*Июль[14],Июль[Периодичность])</f>
        <v>0</v>
      </c>
      <c r="S13" s="30">
        <f>SUMPRODUCT((Июль[№]=1)*Июль[15],Июль[Периодичность])</f>
        <v>0</v>
      </c>
      <c r="T13" s="30">
        <f>SUMPRODUCT((Июль[№]=1)*Июль[16],Июль[Периодичность])</f>
        <v>0</v>
      </c>
      <c r="U13" s="30">
        <f>SUMPRODUCT((Июль[№]=1)*Июль[17],Июль[Периодичность])</f>
        <v>0</v>
      </c>
      <c r="V13" s="30">
        <f>SUMPRODUCT((Июль[№]=1)*Июль[18],Июль[Периодичность])</f>
        <v>0</v>
      </c>
      <c r="W13" s="30">
        <f>SUMPRODUCT((Июль[№]=1)*Июль[19],Июль[Периодичность])</f>
        <v>0</v>
      </c>
      <c r="X13" s="30">
        <f>SUMPRODUCT((Июль[№]=1)*Июль[20],Июль[Периодичность])</f>
        <v>0</v>
      </c>
      <c r="Y13" s="30">
        <f>SUMPRODUCT((Июль[№]=1)*Июль[21],Июль[Периодичность])</f>
        <v>0</v>
      </c>
      <c r="Z13" s="30">
        <f>SUMPRODUCT((Июль[№]=1)*Июль[22],Июль[Периодичность])</f>
        <v>0</v>
      </c>
      <c r="AA13" s="30">
        <f>SUMPRODUCT((Июль[№]=1)*Июль[23],Июль[Периодичность])</f>
        <v>0</v>
      </c>
      <c r="AB13" s="30">
        <f>SUMPRODUCT((Июль[№]=1)*Июль[24],Июль[Периодичность])</f>
        <v>0</v>
      </c>
      <c r="AC13" s="30">
        <f>SUMPRODUCT((Июль[№]=1)*Июль[25],Июль[Периодичность])</f>
        <v>0</v>
      </c>
      <c r="AD13" s="30">
        <f>SUMPRODUCT((Июль[№]=1)*Июль[26],Июль[Периодичность])</f>
        <v>0</v>
      </c>
      <c r="AE13" s="30">
        <f>SUMPRODUCT((Июль[№]=1)*Июль[27],Июль[Периодичность])</f>
        <v>0</v>
      </c>
      <c r="AF13" s="30">
        <f>SUMPRODUCT((Июль[№]=1)*Июль[28],Июль[Периодичность])</f>
        <v>0</v>
      </c>
      <c r="AG13" s="30">
        <f>SUMPRODUCT((Июль[№]=1)*Июль[29],Июль[Периодичность])</f>
        <v>0</v>
      </c>
      <c r="AH13" s="30">
        <f>SUMPRODUCT((Июль[№]=1)*Июль[30],Июль[Периодичность])</f>
        <v>0</v>
      </c>
      <c r="AI13" s="30">
        <f>SUMPRODUCT((Июль[№]=1)*Июль[31],Июль[Периодичность])</f>
        <v>0</v>
      </c>
      <c r="AL13" s="4"/>
    </row>
    <row r="14" spans="1:38" x14ac:dyDescent="0.25">
      <c r="B14" s="3">
        <f>SUMPRODUCT((Настройки!$E$27:$AI$27=2)*E16:AI16)</f>
        <v>0</v>
      </c>
      <c r="D14" s="5">
        <v>2</v>
      </c>
      <c r="E14" s="30">
        <f>SUMPRODUCT((Июль[№]=2)*Июль[1],Июль[Периодичность])</f>
        <v>0</v>
      </c>
      <c r="F14" s="30">
        <f>SUMPRODUCT((Июль[№]=2)*Июль[2],Июль[Периодичность])</f>
        <v>0</v>
      </c>
      <c r="G14" s="30">
        <f>SUMPRODUCT((Июль[№]=2)*Июль[3],Июль[Периодичность])</f>
        <v>0</v>
      </c>
      <c r="H14" s="30">
        <f>SUMPRODUCT((Июль[№]=2)*Июль[4],Июль[Периодичность])</f>
        <v>0</v>
      </c>
      <c r="I14" s="30">
        <f>SUMPRODUCT((Июль[№]=2)*Июль[5],Июль[Периодичность])</f>
        <v>0</v>
      </c>
      <c r="J14" s="30">
        <f>SUMPRODUCT((Июль[№]=2)*Июль[6],Июль[Периодичность])</f>
        <v>0</v>
      </c>
      <c r="K14" s="30">
        <f>SUMPRODUCT((Июль[№]=2)*Июль[7],Июль[Периодичность])</f>
        <v>0</v>
      </c>
      <c r="L14" s="30">
        <f>SUMPRODUCT((Июль[№]=2)*Июль[8],Июль[Периодичность])</f>
        <v>0</v>
      </c>
      <c r="M14" s="30">
        <f>SUMPRODUCT((Июль[№]=2)*Июль[9],Июль[Периодичность])</f>
        <v>0</v>
      </c>
      <c r="N14" s="30">
        <f>SUMPRODUCT((Июль[№]=2)*Июль[10],Июль[Периодичность])</f>
        <v>0</v>
      </c>
      <c r="O14" s="30">
        <f>SUMPRODUCT((Июль[№]=2)*Июль[11],Июль[Периодичность])</f>
        <v>0</v>
      </c>
      <c r="P14" s="30">
        <f>SUMPRODUCT((Июль[№]=2)*Июль[12],Июль[Периодичность])</f>
        <v>0</v>
      </c>
      <c r="Q14" s="30">
        <f>SUMPRODUCT((Июль[№]=2)*Июль[13],Июль[Периодичность])</f>
        <v>0</v>
      </c>
      <c r="R14" s="30">
        <f>SUMPRODUCT((Июль[№]=2)*Июль[14],Июль[Периодичность])</f>
        <v>0</v>
      </c>
      <c r="S14" s="30">
        <f>SUMPRODUCT((Июль[№]=2)*Июль[15],Июль[Периодичность])</f>
        <v>0</v>
      </c>
      <c r="T14" s="30">
        <f>SUMPRODUCT((Июль[№]=2)*Июль[16],Июль[Периодичность])</f>
        <v>0</v>
      </c>
      <c r="U14" s="30">
        <f>SUMPRODUCT((Июль[№]=2)*Июль[17],Июль[Периодичность])</f>
        <v>0</v>
      </c>
      <c r="V14" s="30">
        <f>SUMPRODUCT((Июль[№]=2)*Июль[18],Июль[Периодичность])</f>
        <v>0</v>
      </c>
      <c r="W14" s="30">
        <f>SUMPRODUCT((Июль[№]=2)*Июль[19],Июль[Периодичность])</f>
        <v>0</v>
      </c>
      <c r="X14" s="30">
        <f>SUMPRODUCT((Июль[№]=2)*Июль[20],Июль[Периодичность])</f>
        <v>0</v>
      </c>
      <c r="Y14" s="30">
        <f>SUMPRODUCT((Июль[№]=2)*Июль[21],Июль[Периодичность])</f>
        <v>0</v>
      </c>
      <c r="Z14" s="30">
        <f>SUMPRODUCT((Июль[№]=2)*Июль[22],Июль[Периодичность])</f>
        <v>0</v>
      </c>
      <c r="AA14" s="30">
        <f>SUMPRODUCT((Июль[№]=2)*Июль[23],Июль[Периодичность])</f>
        <v>0</v>
      </c>
      <c r="AB14" s="30">
        <f>SUMPRODUCT((Июль[№]=2)*Июль[24],Июль[Периодичность])</f>
        <v>0</v>
      </c>
      <c r="AC14" s="30">
        <f>SUMPRODUCT((Июль[№]=2)*Июль[25],Июль[Периодичность])</f>
        <v>0</v>
      </c>
      <c r="AD14" s="30">
        <f>SUMPRODUCT((Июль[№]=2)*Июль[26],Июль[Периодичность])</f>
        <v>0</v>
      </c>
      <c r="AE14" s="30">
        <f>SUMPRODUCT((Июль[№]=2)*Июль[27],Июль[Периодичность])</f>
        <v>0</v>
      </c>
      <c r="AF14" s="30">
        <f>SUMPRODUCT((Июль[№]=2)*Июль[28],Июль[Периодичность])</f>
        <v>0</v>
      </c>
      <c r="AG14" s="30">
        <f>SUMPRODUCT((Июль[№]=2)*Июль[29],Июль[Периодичность])</f>
        <v>0</v>
      </c>
      <c r="AH14" s="30">
        <f>SUMPRODUCT((Июль[№]=2)*Июль[30],Июль[Периодичность])</f>
        <v>0</v>
      </c>
      <c r="AI14" s="30">
        <f>SUMPRODUCT((Июль[№]=2)*Июль[31],Июль[Периодичность])</f>
        <v>0</v>
      </c>
      <c r="AL14" s="4"/>
    </row>
    <row r="15" spans="1:38" x14ac:dyDescent="0.25">
      <c r="B15" s="3">
        <f>SUMPRODUCT((Настройки!$E$27:$AI$27=3)*E16:AI16)</f>
        <v>0</v>
      </c>
      <c r="D15" s="5">
        <v>3</v>
      </c>
      <c r="E15" s="30">
        <f>SUMPRODUCT((Июль[№]=3)*Июль[1],Июль[Периодичность])</f>
        <v>0</v>
      </c>
      <c r="F15" s="30">
        <f>SUMPRODUCT((Июль[№]=3)*Июль[2],Июль[Периодичность])</f>
        <v>0</v>
      </c>
      <c r="G15" s="30">
        <f>SUMPRODUCT((Июль[№]=3)*Июль[3],Июль[Периодичность])</f>
        <v>0</v>
      </c>
      <c r="H15" s="30">
        <f>SUMPRODUCT((Июль[№]=3)*Июль[4],Июль[Периодичность])</f>
        <v>0</v>
      </c>
      <c r="I15" s="30">
        <f>SUMPRODUCT((Июль[№]=3)*Июль[5],Июль[Периодичность])</f>
        <v>0</v>
      </c>
      <c r="J15" s="30">
        <f>SUMPRODUCT((Июль[№]=3)*Июль[6],Июль[Периодичность])</f>
        <v>0</v>
      </c>
      <c r="K15" s="30">
        <f>SUMPRODUCT((Июль[№]=3)*Июль[7],Июль[Периодичность])</f>
        <v>0</v>
      </c>
      <c r="L15" s="30">
        <f>SUMPRODUCT((Июль[№]=3)*Июль[8],Июль[Периодичность])</f>
        <v>0</v>
      </c>
      <c r="M15" s="30">
        <f>SUMPRODUCT((Июль[№]=3)*Июль[9],Июль[Периодичность])</f>
        <v>0</v>
      </c>
      <c r="N15" s="30">
        <f>SUMPRODUCT((Июль[№]=3)*Июль[10],Июль[Периодичность])</f>
        <v>0</v>
      </c>
      <c r="O15" s="30">
        <f>SUMPRODUCT((Июль[№]=3)*Июль[11],Июль[Периодичность])</f>
        <v>0</v>
      </c>
      <c r="P15" s="30">
        <f>SUMPRODUCT((Июль[№]=3)*Июль[12],Июль[Периодичность])</f>
        <v>0</v>
      </c>
      <c r="Q15" s="30">
        <f>SUMPRODUCT((Июль[№]=3)*Июль[13],Июль[Периодичность])</f>
        <v>0</v>
      </c>
      <c r="R15" s="30">
        <f>SUMPRODUCT((Июль[№]=3)*Июль[14],Июль[Периодичность])</f>
        <v>0</v>
      </c>
      <c r="S15" s="30">
        <f>SUMPRODUCT((Июль[№]=3)*Июль[15],Июль[Периодичность])</f>
        <v>0</v>
      </c>
      <c r="T15" s="30">
        <f>SUMPRODUCT((Июль[№]=3)*Июль[16],Июль[Периодичность])</f>
        <v>0</v>
      </c>
      <c r="U15" s="30">
        <f>SUMPRODUCT((Июль[№]=3)*Июль[17],Июль[Периодичность])</f>
        <v>0</v>
      </c>
      <c r="V15" s="30">
        <f>SUMPRODUCT((Июль[№]=3)*Июль[18],Июль[Периодичность])</f>
        <v>0</v>
      </c>
      <c r="W15" s="30">
        <f>SUMPRODUCT((Июль[№]=3)*Июль[19],Июль[Периодичность])</f>
        <v>0</v>
      </c>
      <c r="X15" s="30">
        <f>SUMPRODUCT((Июль[№]=3)*Июль[20],Июль[Периодичность])</f>
        <v>0</v>
      </c>
      <c r="Y15" s="30">
        <f>SUMPRODUCT((Июль[№]=3)*Июль[21],Июль[Периодичность])</f>
        <v>0</v>
      </c>
      <c r="Z15" s="30">
        <f>SUMPRODUCT((Июль[№]=3)*Июль[22],Июль[Периодичность])</f>
        <v>0</v>
      </c>
      <c r="AA15" s="30">
        <f>SUMPRODUCT((Июль[№]=3)*Июль[23],Июль[Периодичность])</f>
        <v>0</v>
      </c>
      <c r="AB15" s="30">
        <f>SUMPRODUCT((Июль[№]=3)*Июль[24],Июль[Периодичность])</f>
        <v>0</v>
      </c>
      <c r="AC15" s="30">
        <f>SUMPRODUCT((Июль[№]=3)*Июль[25],Июль[Периодичность])</f>
        <v>0</v>
      </c>
      <c r="AD15" s="30">
        <f>SUMPRODUCT((Июль[№]=3)*Июль[26],Июль[Периодичность])</f>
        <v>0</v>
      </c>
      <c r="AE15" s="30">
        <f>SUMPRODUCT((Июль[№]=3)*Июль[27],Июль[Периодичность])</f>
        <v>0</v>
      </c>
      <c r="AF15" s="30">
        <f>SUMPRODUCT((Июль[№]=3)*Июль[28],Июль[Периодичность])</f>
        <v>0</v>
      </c>
      <c r="AG15" s="30">
        <f>SUMPRODUCT((Июль[№]=3)*Июль[29],Июль[Периодичность])</f>
        <v>0</v>
      </c>
      <c r="AH15" s="30">
        <f>SUMPRODUCT((Июль[№]=3)*Июль[30],Июль[Периодичность])</f>
        <v>0</v>
      </c>
      <c r="AI15" s="30">
        <f>SUMPRODUCT((Июль[№]=3)*Июль[31],Июль[Периодичность])</f>
        <v>0</v>
      </c>
      <c r="AK15" s="11"/>
    </row>
    <row r="16" spans="1:38" ht="22.5" customHeight="1" x14ac:dyDescent="0.25">
      <c r="B16" s="3">
        <f>SUMPRODUCT((Настройки!$E$27:$AI$27=4)*E16:AI16)</f>
        <v>0</v>
      </c>
      <c r="D16" s="5"/>
      <c r="E16" s="30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I16" s="30">
        <f>SUM(AI13:AI15)</f>
        <v>0</v>
      </c>
      <c r="AK16" s="11"/>
    </row>
    <row r="17" spans="1:37" ht="22.5" customHeight="1" x14ac:dyDescent="0.25">
      <c r="B17" s="3">
        <f>SUMPRODUCT((Настройки!$E$27:$AI$27=5)*E16:AI16)</f>
        <v>0</v>
      </c>
      <c r="C17" s="5">
        <f>ИюльИтоги[[#This Row],[№]]*60</f>
        <v>0</v>
      </c>
      <c r="D17" s="7">
        <f>SUM(ИюльИтоги[[#This Row],[1]:[31]])</f>
        <v>0</v>
      </c>
      <c r="E17" s="31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31">
        <f>AI16/60</f>
        <v>0</v>
      </c>
      <c r="AJ17" s="3">
        <f ca="1">SUM(Июль[УСЛУГ])</f>
        <v>0</v>
      </c>
      <c r="AK17" s="11">
        <f ca="1">SUM(Июль[МИНУТ])</f>
        <v>0</v>
      </c>
    </row>
    <row r="18" spans="1:37" ht="20.25" customHeight="1" x14ac:dyDescent="0.25"/>
    <row r="19" spans="1:37" ht="22.5" customHeight="1" x14ac:dyDescent="0.25">
      <c r="A19" s="49" t="s">
        <v>52</v>
      </c>
      <c r="B19" s="49" t="s">
        <v>53</v>
      </c>
      <c r="C19" s="50"/>
      <c r="D19" s="51" t="s">
        <v>67</v>
      </c>
      <c r="E19" s="43" t="s">
        <v>55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5"/>
      <c r="AJ19" s="39" t="s">
        <v>70</v>
      </c>
      <c r="AK19" s="40" t="s">
        <v>70</v>
      </c>
    </row>
    <row r="20" spans="1:37" ht="18" customHeight="1" x14ac:dyDescent="0.25">
      <c r="A20" s="49"/>
      <c r="B20" s="49"/>
      <c r="C20" s="50"/>
      <c r="D20" s="52"/>
      <c r="E20" s="53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5"/>
      <c r="AJ20" s="39"/>
      <c r="AK20" s="41"/>
    </row>
    <row r="21" spans="1:37" ht="21.75" customHeight="1" x14ac:dyDescent="0.25">
      <c r="A21" s="49"/>
      <c r="B21" s="49"/>
      <c r="C21" s="50"/>
      <c r="D21" s="52"/>
      <c r="E21" s="26">
        <f>Настройки!E13</f>
        <v>45108</v>
      </c>
      <c r="F21" s="26">
        <f>Настройки!F13</f>
        <v>45109</v>
      </c>
      <c r="G21" s="26">
        <f>Настройки!G13</f>
        <v>45110</v>
      </c>
      <c r="H21" s="26">
        <f>Настройки!H13</f>
        <v>45111</v>
      </c>
      <c r="I21" s="26">
        <f>Настройки!I13</f>
        <v>45112</v>
      </c>
      <c r="J21" s="26">
        <f>Настройки!J13</f>
        <v>45113</v>
      </c>
      <c r="K21" s="26">
        <f>Настройки!K13</f>
        <v>45114</v>
      </c>
      <c r="L21" s="26">
        <f>Настройки!L13</f>
        <v>45115</v>
      </c>
      <c r="M21" s="26">
        <f>Настройки!M13</f>
        <v>45116</v>
      </c>
      <c r="N21" s="26">
        <f>Настройки!N13</f>
        <v>45117</v>
      </c>
      <c r="O21" s="26">
        <f>Настройки!O13</f>
        <v>45118</v>
      </c>
      <c r="P21" s="26">
        <f>Настройки!P13</f>
        <v>45119</v>
      </c>
      <c r="Q21" s="26">
        <f>Настройки!Q13</f>
        <v>45120</v>
      </c>
      <c r="R21" s="26">
        <f>Настройки!R13</f>
        <v>45121</v>
      </c>
      <c r="S21" s="26">
        <f>Настройки!S13</f>
        <v>45122</v>
      </c>
      <c r="T21" s="26">
        <f>Настройки!T13</f>
        <v>45123</v>
      </c>
      <c r="U21" s="26">
        <f>Настройки!U13</f>
        <v>45124</v>
      </c>
      <c r="V21" s="26">
        <f>Настройки!V13</f>
        <v>45125</v>
      </c>
      <c r="W21" s="26">
        <f>Настройки!W13</f>
        <v>45126</v>
      </c>
      <c r="X21" s="26">
        <f>Настройки!X13</f>
        <v>45127</v>
      </c>
      <c r="Y21" s="26">
        <f>Настройки!Y13</f>
        <v>45128</v>
      </c>
      <c r="Z21" s="26">
        <f>Настройки!Z13</f>
        <v>45129</v>
      </c>
      <c r="AA21" s="26">
        <f>Настройки!AA13</f>
        <v>45130</v>
      </c>
      <c r="AB21" s="26">
        <f>Настройки!AB13</f>
        <v>45131</v>
      </c>
      <c r="AC21" s="26">
        <f>Настройки!AC13</f>
        <v>45132</v>
      </c>
      <c r="AD21" s="26">
        <f>Настройки!AD13</f>
        <v>45133</v>
      </c>
      <c r="AE21" s="26">
        <f>Настройки!AE13</f>
        <v>45134</v>
      </c>
      <c r="AF21" s="26">
        <f>Настройки!AF13</f>
        <v>45135</v>
      </c>
      <c r="AG21" s="26">
        <f>Настройки!AG13</f>
        <v>45136</v>
      </c>
      <c r="AH21" s="26">
        <f>Настройки!AH13</f>
        <v>45137</v>
      </c>
      <c r="AI21" s="26">
        <f>Настройки!AI13</f>
        <v>45138</v>
      </c>
      <c r="AJ21" s="39"/>
      <c r="AK21" s="41"/>
    </row>
    <row r="22" spans="1:37" x14ac:dyDescent="0.25">
      <c r="A22" s="49"/>
      <c r="B22" s="49"/>
      <c r="C22" s="50"/>
      <c r="D22" s="52"/>
      <c r="E22" s="49" t="s">
        <v>54</v>
      </c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56"/>
      <c r="AJ22" s="39"/>
      <c r="AK22" s="41"/>
    </row>
    <row r="23" spans="1:37" x14ac:dyDescent="0.25">
      <c r="A23" s="49"/>
      <c r="B23" s="49"/>
      <c r="C23" s="50"/>
      <c r="D23" s="52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56"/>
      <c r="AJ23" s="39"/>
      <c r="AK23" s="42"/>
    </row>
    <row r="24" spans="1:37" ht="23.25" customHeight="1" x14ac:dyDescent="0.25">
      <c r="A24" s="3" t="s">
        <v>65</v>
      </c>
      <c r="B24" s="2" t="s">
        <v>63</v>
      </c>
      <c r="C24" s="3" t="s">
        <v>64</v>
      </c>
      <c r="D24" s="9" t="s">
        <v>66</v>
      </c>
      <c r="E24" s="3" t="s">
        <v>89</v>
      </c>
      <c r="F24" s="3" t="s">
        <v>90</v>
      </c>
      <c r="G24" s="3" t="s">
        <v>91</v>
      </c>
      <c r="H24" s="3" t="s">
        <v>92</v>
      </c>
      <c r="I24" s="3" t="s">
        <v>93</v>
      </c>
      <c r="J24" s="3" t="s">
        <v>94</v>
      </c>
      <c r="K24" s="3" t="s">
        <v>95</v>
      </c>
      <c r="L24" s="3" t="s">
        <v>96</v>
      </c>
      <c r="M24" s="3" t="s">
        <v>97</v>
      </c>
      <c r="N24" s="3" t="s">
        <v>98</v>
      </c>
      <c r="O24" s="3" t="s">
        <v>99</v>
      </c>
      <c r="P24" s="3" t="s">
        <v>100</v>
      </c>
      <c r="Q24" s="3" t="s">
        <v>101</v>
      </c>
      <c r="R24" s="3" t="s">
        <v>102</v>
      </c>
      <c r="S24" s="3" t="s">
        <v>103</v>
      </c>
      <c r="T24" s="3" t="s">
        <v>104</v>
      </c>
      <c r="U24" s="3" t="s">
        <v>105</v>
      </c>
      <c r="V24" s="3" t="s">
        <v>106</v>
      </c>
      <c r="W24" s="3" t="s">
        <v>107</v>
      </c>
      <c r="X24" s="3" t="s">
        <v>108</v>
      </c>
      <c r="Y24" s="3" t="s">
        <v>109</v>
      </c>
      <c r="Z24" s="3" t="s">
        <v>110</v>
      </c>
      <c r="AA24" s="3" t="s">
        <v>111</v>
      </c>
      <c r="AB24" s="3" t="s">
        <v>112</v>
      </c>
      <c r="AC24" s="3" t="s">
        <v>113</v>
      </c>
      <c r="AD24" s="3" t="s">
        <v>114</v>
      </c>
      <c r="AE24" s="3" t="s">
        <v>115</v>
      </c>
      <c r="AF24" s="3" t="s">
        <v>116</v>
      </c>
      <c r="AG24" s="3" t="s">
        <v>117</v>
      </c>
      <c r="AH24" s="3" t="s">
        <v>118</v>
      </c>
      <c r="AI24" s="3" t="s">
        <v>127</v>
      </c>
      <c r="AJ24" s="3" t="s">
        <v>68</v>
      </c>
      <c r="AK24" s="3" t="s">
        <v>69</v>
      </c>
    </row>
    <row r="25" spans="1:37" ht="31.5" x14ac:dyDescent="0.25">
      <c r="A25" s="16" t="s">
        <v>1</v>
      </c>
      <c r="B25" s="2" t="s">
        <v>56</v>
      </c>
      <c r="C25" s="8">
        <v>60</v>
      </c>
      <c r="D25" s="11">
        <v>1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5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25" s="5">
        <f ca="1">IF(Июль[[#This Row],[УСЛУГ]]&lt;&gt;"",Июль[[#This Row],[УСЛУГ]]*Июль[[#This Row],[Периодичность]],"")</f>
        <v>0</v>
      </c>
    </row>
    <row r="26" spans="1:37" x14ac:dyDescent="0.25">
      <c r="A26" s="16"/>
      <c r="B26" s="2"/>
      <c r="C26" s="8">
        <v>60</v>
      </c>
      <c r="D26" s="11">
        <v>2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5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26" s="5" t="str">
        <f ca="1">IF(Июль[[#This Row],[УСЛУГ]]&lt;&gt;"",Июль[[#This Row],[УСЛУГ]]*Июль[[#This Row],[Периодичность]],"")</f>
        <v/>
      </c>
    </row>
    <row r="27" spans="1:37" x14ac:dyDescent="0.25">
      <c r="A27" s="16"/>
      <c r="B27" s="2"/>
      <c r="C27" s="8">
        <v>60</v>
      </c>
      <c r="D27" s="11">
        <v>3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5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27" s="5" t="str">
        <f ca="1">IF(Июль[[#This Row],[УСЛУГ]]&lt;&gt;"",Июль[[#This Row],[УСЛУГ]]*Июль[[#This Row],[Периодичность]],"")</f>
        <v/>
      </c>
    </row>
    <row r="28" spans="1:37" ht="31.5" x14ac:dyDescent="0.25">
      <c r="A28" s="16" t="s">
        <v>3</v>
      </c>
      <c r="B28" s="2" t="s">
        <v>58</v>
      </c>
      <c r="C28" s="8">
        <v>10</v>
      </c>
      <c r="D28" s="11">
        <v>1</v>
      </c>
      <c r="E28" s="18"/>
      <c r="F28" s="18"/>
      <c r="G28" s="18"/>
      <c r="H28" s="18"/>
      <c r="I28" s="18"/>
      <c r="J28" s="18"/>
      <c r="K28" s="10"/>
      <c r="L28" s="10"/>
      <c r="M28" s="10"/>
      <c r="N28" s="10"/>
      <c r="O28" s="10"/>
      <c r="P28" s="18"/>
      <c r="Q28" s="18"/>
      <c r="R28" s="10"/>
      <c r="S28" s="10"/>
      <c r="T28" s="10"/>
      <c r="U28" s="10"/>
      <c r="V28" s="10"/>
      <c r="W28" s="18"/>
      <c r="X28" s="18"/>
      <c r="Y28" s="10"/>
      <c r="Z28" s="10"/>
      <c r="AA28" s="10"/>
      <c r="AB28" s="10"/>
      <c r="AC28" s="10"/>
      <c r="AD28" s="18"/>
      <c r="AE28" s="18"/>
      <c r="AF28" s="18"/>
      <c r="AG28" s="18"/>
      <c r="AH28" s="18"/>
      <c r="AI28" s="20"/>
      <c r="AJ28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28" s="29">
        <f ca="1">IF(Июль[[#This Row],[УСЛУГ]]&lt;&gt;"",Июль[[#This Row],[УСЛУГ]]*Июль[[#This Row],[Периодичность]],"")</f>
        <v>0</v>
      </c>
    </row>
    <row r="29" spans="1:37" ht="18.75" x14ac:dyDescent="0.25">
      <c r="A29" s="16"/>
      <c r="B29" s="2"/>
      <c r="C29" s="8">
        <v>10</v>
      </c>
      <c r="D29" s="11">
        <v>2</v>
      </c>
      <c r="E29" s="18"/>
      <c r="F29" s="18"/>
      <c r="G29" s="18"/>
      <c r="H29" s="18"/>
      <c r="I29" s="18"/>
      <c r="J29" s="18"/>
      <c r="K29" s="10"/>
      <c r="L29" s="10"/>
      <c r="M29" s="10"/>
      <c r="N29" s="10"/>
      <c r="O29" s="10"/>
      <c r="P29" s="18"/>
      <c r="Q29" s="18"/>
      <c r="R29" s="10"/>
      <c r="S29" s="10"/>
      <c r="T29" s="10"/>
      <c r="U29" s="10"/>
      <c r="V29" s="10"/>
      <c r="W29" s="18"/>
      <c r="X29" s="18"/>
      <c r="Y29" s="10"/>
      <c r="Z29" s="10"/>
      <c r="AA29" s="10"/>
      <c r="AB29" s="10"/>
      <c r="AC29" s="10"/>
      <c r="AD29" s="18"/>
      <c r="AE29" s="18"/>
      <c r="AF29" s="18"/>
      <c r="AG29" s="18"/>
      <c r="AH29" s="18"/>
      <c r="AI29" s="20"/>
      <c r="AJ29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29" s="29" t="str">
        <f ca="1">IF(Июль[[#This Row],[УСЛУГ]]&lt;&gt;"",Июль[[#This Row],[УСЛУГ]]*Июль[[#This Row],[Периодичность]],"")</f>
        <v/>
      </c>
    </row>
    <row r="30" spans="1:37" x14ac:dyDescent="0.25">
      <c r="A30" s="16"/>
      <c r="B30" s="2"/>
      <c r="C30" s="8">
        <v>10</v>
      </c>
      <c r="D30" s="11">
        <v>3</v>
      </c>
      <c r="E30" s="18"/>
      <c r="F30" s="18"/>
      <c r="G30" s="18"/>
      <c r="H30" s="18"/>
      <c r="I30" s="18"/>
      <c r="J30" s="18"/>
      <c r="K30" s="10"/>
      <c r="L30" s="10"/>
      <c r="M30" s="10"/>
      <c r="N30" s="10"/>
      <c r="O30" s="10"/>
      <c r="P30" s="18"/>
      <c r="Q30" s="18"/>
      <c r="R30" s="10"/>
      <c r="S30" s="10"/>
      <c r="T30" s="10"/>
      <c r="U30" s="10"/>
      <c r="V30" s="10"/>
      <c r="W30" s="18"/>
      <c r="X30" s="18"/>
      <c r="Y30" s="10"/>
      <c r="Z30" s="10"/>
      <c r="AA30" s="10"/>
      <c r="AB30" s="10"/>
      <c r="AC30" s="10"/>
      <c r="AD30" s="18"/>
      <c r="AE30" s="18"/>
      <c r="AF30" s="18"/>
      <c r="AG30" s="18"/>
      <c r="AH30" s="18"/>
      <c r="AI30" s="19"/>
      <c r="AJ30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30" s="29" t="str">
        <f ca="1">IF(Июль[[#This Row],[УСЛУГ]]&lt;&gt;"",Июль[[#This Row],[УСЛУГ]]*Июль[[#This Row],[Периодичность]],"")</f>
        <v/>
      </c>
    </row>
    <row r="31" spans="1:37" x14ac:dyDescent="0.25">
      <c r="A31" s="16" t="s">
        <v>5</v>
      </c>
      <c r="B31" s="2" t="s">
        <v>58</v>
      </c>
      <c r="C31" s="8">
        <v>30</v>
      </c>
      <c r="D31" s="11">
        <v>1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31" s="29">
        <f ca="1">IF(Июль[[#This Row],[УСЛУГ]]&lt;&gt;"",Июль[[#This Row],[УСЛУГ]]*Июль[[#This Row],[Периодичность]],"")</f>
        <v>0</v>
      </c>
    </row>
    <row r="32" spans="1:37" x14ac:dyDescent="0.25">
      <c r="A32" s="16"/>
      <c r="B32" s="2"/>
      <c r="C32" s="8">
        <v>30</v>
      </c>
      <c r="D32" s="11">
        <v>2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32" s="29" t="str">
        <f ca="1">IF(Июль[[#This Row],[УСЛУГ]]&lt;&gt;"",Июль[[#This Row],[УСЛУГ]]*Июль[[#This Row],[Периодичность]],"")</f>
        <v/>
      </c>
    </row>
    <row r="33" spans="1:37" x14ac:dyDescent="0.25">
      <c r="A33" s="16"/>
      <c r="B33" s="2"/>
      <c r="C33" s="8">
        <v>30</v>
      </c>
      <c r="D33" s="11">
        <v>3</v>
      </c>
      <c r="E33" s="18"/>
      <c r="F33" s="18"/>
      <c r="G33" s="18"/>
      <c r="H33" s="18"/>
      <c r="I33" s="18"/>
      <c r="J33" s="18"/>
      <c r="K33" s="10"/>
      <c r="L33" s="10"/>
      <c r="M33" s="10"/>
      <c r="N33" s="10"/>
      <c r="O33" s="10"/>
      <c r="P33" s="18"/>
      <c r="Q33" s="18"/>
      <c r="R33" s="10"/>
      <c r="S33" s="10"/>
      <c r="T33" s="10"/>
      <c r="U33" s="10"/>
      <c r="V33" s="10"/>
      <c r="W33" s="18"/>
      <c r="X33" s="18"/>
      <c r="Y33" s="10"/>
      <c r="Z33" s="10"/>
      <c r="AA33" s="10"/>
      <c r="AB33" s="10"/>
      <c r="AC33" s="10"/>
      <c r="AD33" s="18"/>
      <c r="AE33" s="18"/>
      <c r="AF33" s="18"/>
      <c r="AG33" s="18"/>
      <c r="AH33" s="18"/>
      <c r="AI33" s="19"/>
      <c r="AJ33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33" s="29" t="str">
        <f ca="1">IF(Июль[[#This Row],[УСЛУГ]]&lt;&gt;"",Июль[[#This Row],[УСЛУГ]]*Июль[[#This Row],[Периодичность]],"")</f>
        <v/>
      </c>
    </row>
    <row r="34" spans="1:37" ht="47.25" x14ac:dyDescent="0.25">
      <c r="A34" s="16" t="s">
        <v>85</v>
      </c>
      <c r="B34" s="2" t="s">
        <v>58</v>
      </c>
      <c r="C34" s="8">
        <v>3</v>
      </c>
      <c r="D34" s="11">
        <v>1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20"/>
      <c r="AJ34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34" s="29">
        <f ca="1">IF(Июль[[#This Row],[УСЛУГ]]&lt;&gt;"",Июль[[#This Row],[УСЛУГ]]*Июль[[#This Row],[Периодичность]],"")</f>
        <v>0</v>
      </c>
    </row>
    <row r="35" spans="1:37" ht="18.75" x14ac:dyDescent="0.25">
      <c r="A35" s="16"/>
      <c r="B35" s="2"/>
      <c r="C35" s="8">
        <v>3</v>
      </c>
      <c r="D35" s="11">
        <v>2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20"/>
      <c r="AJ35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35" s="29" t="str">
        <f ca="1">IF(Июль[[#This Row],[УСЛУГ]]&lt;&gt;"",Июль[[#This Row],[УСЛУГ]]*Июль[[#This Row],[Периодичность]],"")</f>
        <v/>
      </c>
    </row>
    <row r="36" spans="1:37" ht="18.75" x14ac:dyDescent="0.25">
      <c r="A36" s="16"/>
      <c r="B36" s="2"/>
      <c r="C36" s="8">
        <v>3</v>
      </c>
      <c r="D36" s="11">
        <v>3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20"/>
      <c r="AJ36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36" s="29" t="str">
        <f ca="1">IF(Июль[[#This Row],[УСЛУГ]]&lt;&gt;"",Июль[[#This Row],[УСЛУГ]]*Июль[[#This Row],[Периодичность]],"")</f>
        <v/>
      </c>
    </row>
    <row r="37" spans="1:37" ht="18.75" x14ac:dyDescent="0.25">
      <c r="A37" s="16" t="s">
        <v>8</v>
      </c>
      <c r="B37" s="2" t="s">
        <v>59</v>
      </c>
      <c r="C37" s="8">
        <v>15</v>
      </c>
      <c r="D37" s="11">
        <v>1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20"/>
      <c r="AJ37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37" s="29">
        <f ca="1">IF(Июль[[#This Row],[УСЛУГ]]&lt;&gt;"",Июль[[#This Row],[УСЛУГ]]*Июль[[#This Row],[Периодичность]],"")</f>
        <v>0</v>
      </c>
    </row>
    <row r="38" spans="1:37" ht="18.75" x14ac:dyDescent="0.25">
      <c r="A38" s="16"/>
      <c r="B38" s="2"/>
      <c r="C38" s="8">
        <v>15</v>
      </c>
      <c r="D38" s="11">
        <v>2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0"/>
      <c r="AJ38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38" s="29" t="str">
        <f ca="1">IF(Июль[[#This Row],[УСЛУГ]]&lt;&gt;"",Июль[[#This Row],[УСЛУГ]]*Июль[[#This Row],[Периодичность]],"")</f>
        <v/>
      </c>
    </row>
    <row r="39" spans="1:37" ht="18.75" x14ac:dyDescent="0.25">
      <c r="A39" s="16"/>
      <c r="B39" s="2"/>
      <c r="C39" s="8">
        <v>15</v>
      </c>
      <c r="D39" s="11">
        <v>3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20"/>
      <c r="AJ39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39" s="29" t="str">
        <f ca="1">IF(Июль[[#This Row],[УСЛУГ]]&lt;&gt;"",Июль[[#This Row],[УСЛУГ]]*Июль[[#This Row],[Периодичность]],"")</f>
        <v/>
      </c>
    </row>
    <row r="40" spans="1:37" ht="47.25" x14ac:dyDescent="0.25">
      <c r="A40" s="16" t="s">
        <v>84</v>
      </c>
      <c r="B40" s="2" t="s">
        <v>61</v>
      </c>
      <c r="C40" s="8">
        <v>49</v>
      </c>
      <c r="D40" s="11">
        <v>1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20"/>
      <c r="AJ40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40" s="29">
        <f ca="1">IF(Июль[[#This Row],[УСЛУГ]]&lt;&gt;"",Июль[[#This Row],[УСЛУГ]]*Июль[[#This Row],[Периодичность]],"")</f>
        <v>0</v>
      </c>
    </row>
    <row r="41" spans="1:37" ht="18.75" x14ac:dyDescent="0.25">
      <c r="A41" s="16"/>
      <c r="B41" s="2"/>
      <c r="C41" s="8">
        <v>49</v>
      </c>
      <c r="D41" s="11">
        <v>2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20"/>
      <c r="AJ41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41" s="29" t="str">
        <f ca="1">IF(Июль[[#This Row],[УСЛУГ]]&lt;&gt;"",Июль[[#This Row],[УСЛУГ]]*Июль[[#This Row],[Периодичность]],"")</f>
        <v/>
      </c>
    </row>
    <row r="42" spans="1:37" ht="18.75" x14ac:dyDescent="0.25">
      <c r="A42" s="16"/>
      <c r="B42" s="2"/>
      <c r="C42" s="8">
        <v>49</v>
      </c>
      <c r="D42" s="11">
        <v>3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20"/>
      <c r="AJ42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42" s="29" t="str">
        <f ca="1">IF(Июль[[#This Row],[УСЛУГ]]&lt;&gt;"",Июль[[#This Row],[УСЛУГ]]*Июль[[#This Row],[Периодичность]],"")</f>
        <v/>
      </c>
    </row>
    <row r="43" spans="1:37" ht="31.5" x14ac:dyDescent="0.25">
      <c r="A43" s="16" t="s">
        <v>13</v>
      </c>
      <c r="B43" s="2" t="s">
        <v>59</v>
      </c>
      <c r="C43" s="8">
        <v>12</v>
      </c>
      <c r="D43" s="11">
        <v>1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43" s="29">
        <f ca="1">IF(Июль[[#This Row],[УСЛУГ]]&lt;&gt;"",Июль[[#This Row],[УСЛУГ]]*Июль[[#This Row],[Периодичность]],"")</f>
        <v>0</v>
      </c>
    </row>
    <row r="44" spans="1:37" ht="18.75" x14ac:dyDescent="0.25">
      <c r="A44" s="16"/>
      <c r="B44" s="2"/>
      <c r="C44" s="8">
        <v>12</v>
      </c>
      <c r="D44" s="11">
        <v>2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20"/>
      <c r="AJ44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44" s="29" t="str">
        <f ca="1">IF(Июль[[#This Row],[УСЛУГ]]&lt;&gt;"",Июль[[#This Row],[УСЛУГ]]*Июль[[#This Row],[Периодичность]],"")</f>
        <v/>
      </c>
    </row>
    <row r="45" spans="1:37" x14ac:dyDescent="0.25">
      <c r="A45" s="16"/>
      <c r="B45" s="2"/>
      <c r="C45" s="8">
        <v>12</v>
      </c>
      <c r="D45" s="11">
        <v>3</v>
      </c>
      <c r="E45" s="18"/>
      <c r="F45" s="18"/>
      <c r="G45" s="18"/>
      <c r="H45" s="18"/>
      <c r="I45" s="18"/>
      <c r="J45" s="18"/>
      <c r="K45" s="10"/>
      <c r="L45" s="10"/>
      <c r="M45" s="10"/>
      <c r="N45" s="10"/>
      <c r="O45" s="10"/>
      <c r="P45" s="18"/>
      <c r="Q45" s="18"/>
      <c r="R45" s="10"/>
      <c r="S45" s="10"/>
      <c r="T45" s="10"/>
      <c r="U45" s="10"/>
      <c r="V45" s="10"/>
      <c r="W45" s="18"/>
      <c r="X45" s="18"/>
      <c r="Y45" s="10"/>
      <c r="Z45" s="10"/>
      <c r="AA45" s="10"/>
      <c r="AB45" s="10"/>
      <c r="AC45" s="10"/>
      <c r="AD45" s="18"/>
      <c r="AE45" s="18"/>
      <c r="AF45" s="18"/>
      <c r="AG45" s="18"/>
      <c r="AH45" s="18"/>
      <c r="AI45" s="19"/>
      <c r="AJ45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45" s="29" t="str">
        <f ca="1">IF(Июль[[#This Row],[УСЛУГ]]&lt;&gt;"",Июль[[#This Row],[УСЛУГ]]*Июль[[#This Row],[Периодичность]],"")</f>
        <v/>
      </c>
    </row>
    <row r="46" spans="1:37" ht="18.75" x14ac:dyDescent="0.25">
      <c r="A46" s="16" t="s">
        <v>16</v>
      </c>
      <c r="B46" s="2" t="s">
        <v>59</v>
      </c>
      <c r="C46" s="8">
        <v>15</v>
      </c>
      <c r="D46" s="11">
        <v>1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20"/>
      <c r="AJ46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46" s="29">
        <f ca="1">IF(Июль[[#This Row],[УСЛУГ]]&lt;&gt;"",Июль[[#This Row],[УСЛУГ]]*Июль[[#This Row],[Периодичность]],"")</f>
        <v>0</v>
      </c>
    </row>
    <row r="47" spans="1:37" ht="18.75" x14ac:dyDescent="0.25">
      <c r="A47" s="16"/>
      <c r="B47" s="2"/>
      <c r="C47" s="8">
        <v>15</v>
      </c>
      <c r="D47" s="11">
        <v>2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20"/>
      <c r="AJ47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47" s="29" t="str">
        <f ca="1">IF(Июль[[#This Row],[УСЛУГ]]&lt;&gt;"",Июль[[#This Row],[УСЛУГ]]*Июль[[#This Row],[Периодичность]],"")</f>
        <v/>
      </c>
    </row>
    <row r="48" spans="1:37" ht="18.75" x14ac:dyDescent="0.25">
      <c r="A48" s="16"/>
      <c r="B48" s="2"/>
      <c r="C48" s="8">
        <v>15</v>
      </c>
      <c r="D48" s="11">
        <v>3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20"/>
      <c r="AJ48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48" s="29" t="str">
        <f ca="1">IF(Июль[[#This Row],[УСЛУГ]]&lt;&gt;"",Июль[[#This Row],[УСЛУГ]]*Июль[[#This Row],[Периодичность]],"")</f>
        <v/>
      </c>
    </row>
    <row r="49" spans="1:37" ht="31.5" x14ac:dyDescent="0.25">
      <c r="A49" s="16" t="s">
        <v>25</v>
      </c>
      <c r="B49" s="2" t="s">
        <v>59</v>
      </c>
      <c r="C49" s="8">
        <v>10</v>
      </c>
      <c r="D49" s="11">
        <v>1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49" s="29">
        <f ca="1">IF(Июль[[#This Row],[УСЛУГ]]&lt;&gt;"",Июль[[#This Row],[УСЛУГ]]*Июль[[#This Row],[Периодичность]],"")</f>
        <v>0</v>
      </c>
    </row>
    <row r="50" spans="1:37" x14ac:dyDescent="0.25">
      <c r="A50" s="16"/>
      <c r="B50" s="2"/>
      <c r="C50" s="8">
        <v>10</v>
      </c>
      <c r="D50" s="11">
        <v>2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50" s="29" t="str">
        <f ca="1">IF(Июль[[#This Row],[УСЛУГ]]&lt;&gt;"",Июль[[#This Row],[УСЛУГ]]*Июль[[#This Row],[Периодичность]],"")</f>
        <v/>
      </c>
    </row>
    <row r="51" spans="1:37" ht="18.75" x14ac:dyDescent="0.25">
      <c r="A51" s="16"/>
      <c r="B51" s="2"/>
      <c r="C51" s="8">
        <v>10</v>
      </c>
      <c r="D51" s="11">
        <v>3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20"/>
      <c r="AJ51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51" s="29" t="str">
        <f ca="1">IF(Июль[[#This Row],[УСЛУГ]]&lt;&gt;"",Июль[[#This Row],[УСЛУГ]]*Июль[[#This Row],[Периодичность]],"")</f>
        <v/>
      </c>
    </row>
    <row r="52" spans="1:37" ht="31.5" x14ac:dyDescent="0.25">
      <c r="A52" s="16" t="s">
        <v>27</v>
      </c>
      <c r="B52" s="2" t="s">
        <v>59</v>
      </c>
      <c r="C52" s="8">
        <v>15</v>
      </c>
      <c r="D52" s="11">
        <v>1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20"/>
      <c r="AJ52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52" s="29">
        <f ca="1">IF(Июль[[#This Row],[УСЛУГ]]&lt;&gt;"",Июль[[#This Row],[УСЛУГ]]*Июль[[#This Row],[Периодичность]],"")</f>
        <v>0</v>
      </c>
    </row>
    <row r="53" spans="1:37" ht="18.75" x14ac:dyDescent="0.25">
      <c r="A53" s="16"/>
      <c r="B53" s="2"/>
      <c r="C53" s="8">
        <v>15</v>
      </c>
      <c r="D53" s="11">
        <v>2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20"/>
      <c r="AJ53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53" s="29" t="str">
        <f ca="1">IF(Июль[[#This Row],[УСЛУГ]]&lt;&gt;"",Июль[[#This Row],[УСЛУГ]]*Июль[[#This Row],[Периодичность]],"")</f>
        <v/>
      </c>
    </row>
    <row r="54" spans="1:37" ht="18.75" x14ac:dyDescent="0.25">
      <c r="A54" s="16"/>
      <c r="B54" s="2"/>
      <c r="C54" s="8">
        <v>15</v>
      </c>
      <c r="D54" s="11">
        <v>3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20"/>
      <c r="AJ54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54" s="29" t="str">
        <f ca="1">IF(Июль[[#This Row],[УСЛУГ]]&lt;&gt;"",Июль[[#This Row],[УСЛУГ]]*Июль[[#This Row],[Периодичность]],"")</f>
        <v/>
      </c>
    </row>
    <row r="55" spans="1:37" ht="31.5" x14ac:dyDescent="0.25">
      <c r="A55" s="16" t="s">
        <v>29</v>
      </c>
      <c r="B55" s="2" t="s">
        <v>61</v>
      </c>
      <c r="C55" s="8">
        <v>15</v>
      </c>
      <c r="D55" s="11">
        <v>1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20"/>
      <c r="AJ55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55" s="29">
        <f ca="1">IF(Июль[[#This Row],[УСЛУГ]]&lt;&gt;"",Июль[[#This Row],[УСЛУГ]]*Июль[[#This Row],[Периодичность]],"")</f>
        <v>0</v>
      </c>
    </row>
    <row r="56" spans="1:37" ht="18.75" x14ac:dyDescent="0.25">
      <c r="A56" s="16"/>
      <c r="B56" s="2"/>
      <c r="C56" s="8">
        <v>15</v>
      </c>
      <c r="D56" s="11">
        <v>2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20"/>
      <c r="AJ56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56" s="29" t="str">
        <f ca="1">IF(Июль[[#This Row],[УСЛУГ]]&lt;&gt;"",Июль[[#This Row],[УСЛУГ]]*Июль[[#This Row],[Периодичность]],"")</f>
        <v/>
      </c>
    </row>
    <row r="57" spans="1:37" ht="18.75" x14ac:dyDescent="0.25">
      <c r="A57" s="16"/>
      <c r="B57" s="2"/>
      <c r="C57" s="8">
        <v>15</v>
      </c>
      <c r="D57" s="11">
        <v>3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20"/>
      <c r="AJ57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57" s="29" t="str">
        <f ca="1">IF(Июль[[#This Row],[УСЛУГ]]&lt;&gt;"",Июль[[#This Row],[УСЛУГ]]*Июль[[#This Row],[Периодичность]],"")</f>
        <v/>
      </c>
    </row>
    <row r="58" spans="1:37" ht="47.25" x14ac:dyDescent="0.25">
      <c r="A58" s="16" t="s">
        <v>83</v>
      </c>
      <c r="B58" s="2" t="s">
        <v>58</v>
      </c>
      <c r="C58" s="8">
        <v>10</v>
      </c>
      <c r="D58" s="11">
        <v>1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20"/>
      <c r="AJ58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58" s="29">
        <f ca="1">IF(Июль[[#This Row],[УСЛУГ]]&lt;&gt;"",Июль[[#This Row],[УСЛУГ]]*Июль[[#This Row],[Периодичность]],"")</f>
        <v>0</v>
      </c>
    </row>
    <row r="59" spans="1:37" ht="18.75" x14ac:dyDescent="0.25">
      <c r="A59" s="16"/>
      <c r="B59" s="2"/>
      <c r="C59" s="8">
        <v>10</v>
      </c>
      <c r="D59" s="11">
        <v>2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20"/>
      <c r="AJ59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59" s="29" t="str">
        <f ca="1">IF(Июль[[#This Row],[УСЛУГ]]&lt;&gt;"",Июль[[#This Row],[УСЛУГ]]*Июль[[#This Row],[Периодичность]],"")</f>
        <v/>
      </c>
    </row>
    <row r="60" spans="1:37" ht="18.75" x14ac:dyDescent="0.25">
      <c r="A60" s="16"/>
      <c r="B60" s="2"/>
      <c r="C60" s="8">
        <v>10</v>
      </c>
      <c r="D60" s="11">
        <v>3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20"/>
      <c r="AJ60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60" s="29" t="str">
        <f ca="1">IF(Июль[[#This Row],[УСЛУГ]]&lt;&gt;"",Июль[[#This Row],[УСЛУГ]]*Июль[[#This Row],[Периодичность]],"")</f>
        <v/>
      </c>
    </row>
    <row r="61" spans="1:37" ht="47.25" x14ac:dyDescent="0.25">
      <c r="A61" s="16" t="s">
        <v>82</v>
      </c>
      <c r="B61" s="2" t="s">
        <v>59</v>
      </c>
      <c r="C61" s="8">
        <v>10</v>
      </c>
      <c r="D61" s="11">
        <v>1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20"/>
      <c r="AJ61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61" s="29">
        <f ca="1">IF(Июль[[#This Row],[УСЛУГ]]&lt;&gt;"",Июль[[#This Row],[УСЛУГ]]*Июль[[#This Row],[Периодичность]],"")</f>
        <v>0</v>
      </c>
    </row>
    <row r="62" spans="1:37" ht="18.75" x14ac:dyDescent="0.25">
      <c r="A62" s="16"/>
      <c r="B62" s="2"/>
      <c r="C62" s="8">
        <v>10</v>
      </c>
      <c r="D62" s="11">
        <v>2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20"/>
      <c r="AJ62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62" s="29" t="str">
        <f ca="1">IF(Июль[[#This Row],[УСЛУГ]]&lt;&gt;"",Июль[[#This Row],[УСЛУГ]]*Июль[[#This Row],[Периодичность]],"")</f>
        <v/>
      </c>
    </row>
    <row r="63" spans="1:37" ht="18.75" x14ac:dyDescent="0.25">
      <c r="A63" s="16"/>
      <c r="B63" s="2"/>
      <c r="C63" s="8">
        <v>10</v>
      </c>
      <c r="D63" s="11">
        <v>3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20"/>
      <c r="AJ63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63" s="29" t="str">
        <f ca="1">IF(Июль[[#This Row],[УСЛУГ]]&lt;&gt;"",Июль[[#This Row],[УСЛУГ]]*Июль[[#This Row],[Периодичность]],"")</f>
        <v/>
      </c>
    </row>
    <row r="64" spans="1:37" ht="31.5" x14ac:dyDescent="0.25">
      <c r="A64" s="16" t="s">
        <v>37</v>
      </c>
      <c r="B64" s="2" t="s">
        <v>60</v>
      </c>
      <c r="C64" s="8">
        <v>5</v>
      </c>
      <c r="D64" s="11">
        <v>1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64" s="29">
        <f ca="1">IF(Июль[[#This Row],[УСЛУГ]]&lt;&gt;"",Июль[[#This Row],[УСЛУГ]]*Июль[[#This Row],[Периодичность]],"")</f>
        <v>0</v>
      </c>
    </row>
    <row r="65" spans="1:37" ht="18.75" x14ac:dyDescent="0.25">
      <c r="A65" s="16"/>
      <c r="B65" s="2"/>
      <c r="C65" s="8">
        <v>5</v>
      </c>
      <c r="D65" s="11">
        <v>2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20"/>
      <c r="AJ65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65" s="29" t="str">
        <f ca="1">IF(Июль[[#This Row],[УСЛУГ]]&lt;&gt;"",Июль[[#This Row],[УСЛУГ]]*Июль[[#This Row],[Периодичность]],"")</f>
        <v/>
      </c>
    </row>
    <row r="66" spans="1:37" x14ac:dyDescent="0.25">
      <c r="A66" s="16"/>
      <c r="B66" s="2"/>
      <c r="C66" s="8">
        <v>5</v>
      </c>
      <c r="D66" s="11">
        <v>3</v>
      </c>
      <c r="E66" s="18"/>
      <c r="F66" s="18"/>
      <c r="G66" s="18"/>
      <c r="H66" s="18"/>
      <c r="I66" s="18"/>
      <c r="J66" s="18"/>
      <c r="K66" s="10"/>
      <c r="L66" s="10"/>
      <c r="M66" s="10"/>
      <c r="N66" s="10"/>
      <c r="O66" s="10"/>
      <c r="P66" s="18"/>
      <c r="Q66" s="18"/>
      <c r="R66" s="10"/>
      <c r="S66" s="10"/>
      <c r="T66" s="10"/>
      <c r="U66" s="10"/>
      <c r="V66" s="10"/>
      <c r="W66" s="18"/>
      <c r="X66" s="18"/>
      <c r="Y66" s="10"/>
      <c r="Z66" s="10"/>
      <c r="AA66" s="10"/>
      <c r="AB66" s="10"/>
      <c r="AC66" s="10"/>
      <c r="AD66" s="18"/>
      <c r="AE66" s="18"/>
      <c r="AF66" s="18"/>
      <c r="AG66" s="18"/>
      <c r="AH66" s="18"/>
      <c r="AI66" s="19"/>
      <c r="AJ66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66" s="29" t="str">
        <f ca="1">IF(Июль[[#This Row],[УСЛУГ]]&lt;&gt;"",Июль[[#This Row],[УСЛУГ]]*Июль[[#This Row],[Периодичность]],"")</f>
        <v/>
      </c>
    </row>
    <row r="67" spans="1:37" ht="18.75" x14ac:dyDescent="0.25">
      <c r="A67" s="16" t="s">
        <v>38</v>
      </c>
      <c r="B67" s="2" t="s">
        <v>59</v>
      </c>
      <c r="C67" s="8">
        <v>7</v>
      </c>
      <c r="D67" s="11">
        <v>1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20"/>
      <c r="AJ67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67" s="29">
        <f ca="1">IF(Июль[[#This Row],[УСЛУГ]]&lt;&gt;"",Июль[[#This Row],[УСЛУГ]]*Июль[[#This Row],[Периодичность]],"")</f>
        <v>0</v>
      </c>
    </row>
    <row r="68" spans="1:37" ht="18.75" x14ac:dyDescent="0.25">
      <c r="A68" s="16"/>
      <c r="B68" s="2"/>
      <c r="C68" s="8">
        <v>7</v>
      </c>
      <c r="D68" s="11">
        <v>2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20"/>
      <c r="AJ68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68" s="29" t="str">
        <f ca="1">IF(Июль[[#This Row],[УСЛУГ]]&lt;&gt;"",Июль[[#This Row],[УСЛУГ]]*Июль[[#This Row],[Периодичность]],"")</f>
        <v/>
      </c>
    </row>
    <row r="69" spans="1:37" ht="18.75" x14ac:dyDescent="0.25">
      <c r="A69" s="16"/>
      <c r="B69" s="2"/>
      <c r="C69" s="8">
        <v>7</v>
      </c>
      <c r="D69" s="11">
        <v>3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20"/>
      <c r="AJ69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69" s="29" t="str">
        <f ca="1">IF(Июль[[#This Row],[УСЛУГ]]&lt;&gt;"",Июль[[#This Row],[УСЛУГ]]*Июль[[#This Row],[Периодичность]],"")</f>
        <v/>
      </c>
    </row>
    <row r="70" spans="1:37" ht="47.25" x14ac:dyDescent="0.25">
      <c r="A70" s="16" t="s">
        <v>81</v>
      </c>
      <c r="B70" s="2" t="s">
        <v>59</v>
      </c>
      <c r="C70" s="8">
        <v>5</v>
      </c>
      <c r="D70" s="11">
        <v>1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20"/>
      <c r="AJ70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70" s="29">
        <f ca="1">IF(Июль[[#This Row],[УСЛУГ]]&lt;&gt;"",Июль[[#This Row],[УСЛУГ]]*Июль[[#This Row],[Периодичность]],"")</f>
        <v>0</v>
      </c>
    </row>
    <row r="71" spans="1:37" ht="18.75" x14ac:dyDescent="0.25">
      <c r="A71" s="16"/>
      <c r="B71" s="2"/>
      <c r="C71" s="8">
        <v>5</v>
      </c>
      <c r="D71" s="11">
        <v>2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20"/>
      <c r="AJ71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71" s="29" t="str">
        <f ca="1">IF(Июль[[#This Row],[УСЛУГ]]&lt;&gt;"",Июль[[#This Row],[УСЛУГ]]*Июль[[#This Row],[Периодичность]],"")</f>
        <v/>
      </c>
    </row>
    <row r="72" spans="1:37" ht="18.75" x14ac:dyDescent="0.25">
      <c r="A72" s="16"/>
      <c r="B72" s="2"/>
      <c r="C72" s="8">
        <v>5</v>
      </c>
      <c r="D72" s="11">
        <v>3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20"/>
      <c r="AJ72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72" s="29" t="str">
        <f ca="1">IF(Июль[[#This Row],[УСЛУГ]]&lt;&gt;"",Июль[[#This Row],[УСЛУГ]]*Июль[[#This Row],[Периодичность]],"")</f>
        <v/>
      </c>
    </row>
    <row r="73" spans="1:37" ht="47.25" x14ac:dyDescent="0.25">
      <c r="A73" s="16" t="s">
        <v>80</v>
      </c>
      <c r="B73" s="2" t="s">
        <v>59</v>
      </c>
      <c r="C73" s="8">
        <v>5</v>
      </c>
      <c r="D73" s="11">
        <v>1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20"/>
      <c r="AJ73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73" s="29">
        <f ca="1">IF(Июль[[#This Row],[УСЛУГ]]&lt;&gt;"",Июль[[#This Row],[УСЛУГ]]*Июль[[#This Row],[Периодичность]],"")</f>
        <v>0</v>
      </c>
    </row>
    <row r="74" spans="1:37" ht="18.75" x14ac:dyDescent="0.25">
      <c r="A74" s="16"/>
      <c r="B74" s="2"/>
      <c r="C74" s="8">
        <v>5</v>
      </c>
      <c r="D74" s="11">
        <v>2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20"/>
      <c r="AJ74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74" s="29" t="str">
        <f ca="1">IF(Июль[[#This Row],[УСЛУГ]]&lt;&gt;"",Июль[[#This Row],[УСЛУГ]]*Июль[[#This Row],[Периодичность]],"")</f>
        <v/>
      </c>
    </row>
    <row r="75" spans="1:37" ht="18.75" x14ac:dyDescent="0.25">
      <c r="A75" s="16"/>
      <c r="B75" s="2"/>
      <c r="C75" s="8">
        <v>5</v>
      </c>
      <c r="D75" s="11">
        <v>3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20"/>
      <c r="AJ75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75" s="29" t="str">
        <f ca="1">IF(Июль[[#This Row],[УСЛУГ]]&lt;&gt;"",Июль[[#This Row],[УСЛУГ]]*Июль[[#This Row],[Периодичность]],"")</f>
        <v/>
      </c>
    </row>
    <row r="76" spans="1:37" ht="47.25" x14ac:dyDescent="0.25">
      <c r="A76" s="16" t="s">
        <v>79</v>
      </c>
      <c r="B76" s="2" t="s">
        <v>57</v>
      </c>
      <c r="C76" s="8">
        <v>45</v>
      </c>
      <c r="D76" s="11">
        <v>1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20"/>
      <c r="AJ76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76" s="29">
        <f ca="1">IF(Июль[[#This Row],[УСЛУГ]]&lt;&gt;"",Июль[[#This Row],[УСЛУГ]]*Июль[[#This Row],[Периодичность]],"")</f>
        <v>0</v>
      </c>
    </row>
    <row r="77" spans="1:37" ht="18.75" x14ac:dyDescent="0.25">
      <c r="A77" s="16"/>
      <c r="B77" s="2"/>
      <c r="C77" s="8">
        <v>45</v>
      </c>
      <c r="D77" s="11">
        <v>2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20"/>
      <c r="AJ77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77" s="29" t="str">
        <f ca="1">IF(Июль[[#This Row],[УСЛУГ]]&lt;&gt;"",Июль[[#This Row],[УСЛУГ]]*Июль[[#This Row],[Периодичность]],"")</f>
        <v/>
      </c>
    </row>
    <row r="78" spans="1:37" x14ac:dyDescent="0.25">
      <c r="A78" s="16"/>
      <c r="B78" s="2"/>
      <c r="C78" s="8">
        <v>45</v>
      </c>
      <c r="D78" s="11">
        <v>3</v>
      </c>
      <c r="E78" s="18"/>
      <c r="F78" s="18"/>
      <c r="G78" s="18"/>
      <c r="H78" s="18"/>
      <c r="I78" s="18"/>
      <c r="J78" s="18"/>
      <c r="K78" s="10"/>
      <c r="L78" s="10"/>
      <c r="M78" s="10"/>
      <c r="N78" s="10"/>
      <c r="O78" s="10"/>
      <c r="P78" s="18"/>
      <c r="Q78" s="18"/>
      <c r="R78" s="10"/>
      <c r="S78" s="10"/>
      <c r="T78" s="10"/>
      <c r="U78" s="10"/>
      <c r="V78" s="10"/>
      <c r="W78" s="18"/>
      <c r="X78" s="18"/>
      <c r="Y78" s="10"/>
      <c r="Z78" s="10"/>
      <c r="AA78" s="10"/>
      <c r="AB78" s="10"/>
      <c r="AC78" s="10"/>
      <c r="AD78" s="18"/>
      <c r="AE78" s="18"/>
      <c r="AF78" s="18"/>
      <c r="AG78" s="18"/>
      <c r="AH78" s="18"/>
      <c r="AI78" s="19"/>
      <c r="AJ78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78" s="29" t="str">
        <f ca="1">IF(Июль[[#This Row],[УСЛУГ]]&lt;&gt;"",Июль[[#This Row],[УСЛУГ]]*Июль[[#This Row],[Периодичность]],"")</f>
        <v/>
      </c>
    </row>
    <row r="79" spans="1:37" ht="47.25" x14ac:dyDescent="0.25">
      <c r="A79" s="16" t="s">
        <v>78</v>
      </c>
      <c r="B79" s="2" t="s">
        <v>59</v>
      </c>
      <c r="C79" s="8">
        <v>10</v>
      </c>
      <c r="D79" s="11">
        <v>1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79" s="29">
        <f ca="1">IF(Июль[[#This Row],[УСЛУГ]]&lt;&gt;"",Июль[[#This Row],[УСЛУГ]]*Июль[[#This Row],[Периодичность]],"")</f>
        <v>0</v>
      </c>
    </row>
    <row r="80" spans="1:37" ht="18.75" x14ac:dyDescent="0.25">
      <c r="A80" s="16"/>
      <c r="B80" s="2"/>
      <c r="C80" s="8">
        <v>10</v>
      </c>
      <c r="D80" s="11">
        <v>2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20"/>
      <c r="AJ80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80" s="29" t="str">
        <f ca="1">IF(Июль[[#This Row],[УСЛУГ]]&lt;&gt;"",Июль[[#This Row],[УСЛУГ]]*Июль[[#This Row],[Периодичность]],"")</f>
        <v/>
      </c>
    </row>
    <row r="81" spans="1:37" x14ac:dyDescent="0.25">
      <c r="A81" s="16"/>
      <c r="B81" s="2"/>
      <c r="C81" s="8">
        <v>10</v>
      </c>
      <c r="D81" s="11">
        <v>3</v>
      </c>
      <c r="E81" s="18"/>
      <c r="F81" s="18"/>
      <c r="G81" s="18"/>
      <c r="H81" s="18"/>
      <c r="I81" s="18"/>
      <c r="J81" s="18"/>
      <c r="K81" s="10"/>
      <c r="L81" s="10"/>
      <c r="M81" s="10"/>
      <c r="N81" s="10"/>
      <c r="O81" s="10"/>
      <c r="P81" s="18"/>
      <c r="Q81" s="18"/>
      <c r="R81" s="10"/>
      <c r="S81" s="10"/>
      <c r="T81" s="10"/>
      <c r="U81" s="10"/>
      <c r="V81" s="10"/>
      <c r="W81" s="18"/>
      <c r="X81" s="18"/>
      <c r="Y81" s="10"/>
      <c r="Z81" s="10"/>
      <c r="AA81" s="10"/>
      <c r="AB81" s="10"/>
      <c r="AC81" s="10"/>
      <c r="AD81" s="18"/>
      <c r="AE81" s="18"/>
      <c r="AF81" s="18"/>
      <c r="AG81" s="18"/>
      <c r="AH81" s="18"/>
      <c r="AI81" s="19"/>
      <c r="AJ81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81" s="29" t="str">
        <f ca="1">IF(Июль[[#This Row],[УСЛУГ]]&lt;&gt;"",Июль[[#This Row],[УСЛУГ]]*Июль[[#This Row],[Периодичность]],"")</f>
        <v/>
      </c>
    </row>
  </sheetData>
  <mergeCells count="20">
    <mergeCell ref="E19:AI20"/>
    <mergeCell ref="E22:AI23"/>
    <mergeCell ref="AK7:AK11"/>
    <mergeCell ref="A19:A23"/>
    <mergeCell ref="B19:C23"/>
    <mergeCell ref="D19:D23"/>
    <mergeCell ref="AJ19:AJ23"/>
    <mergeCell ref="AK19:AK23"/>
    <mergeCell ref="A7:A11"/>
    <mergeCell ref="B7:B11"/>
    <mergeCell ref="C7:C11"/>
    <mergeCell ref="D7:D11"/>
    <mergeCell ref="AJ7:AJ11"/>
    <mergeCell ref="E10:AI11"/>
    <mergeCell ref="E7:AI8"/>
    <mergeCell ref="A2:AJ2"/>
    <mergeCell ref="A3:AJ3"/>
    <mergeCell ref="J4:L4"/>
    <mergeCell ref="M4:U4"/>
    <mergeCell ref="M5:Q5"/>
  </mergeCells>
  <conditionalFormatting sqref="E9:AI9">
    <cfRule type="expression" dxfId="589" priority="3">
      <formula>WEEKDAY(E9:AI9,2)&gt;5</formula>
    </cfRule>
  </conditionalFormatting>
  <conditionalFormatting sqref="E21:AI21">
    <cfRule type="expression" dxfId="588" priority="1">
      <formula>WEEKDAY(E21:AI21,2)&gt;5</formula>
    </cfRule>
  </conditionalFormatting>
  <dataValidations count="2">
    <dataValidation type="list" allowBlank="1" showInputMessage="1" showErrorMessage="1" sqref="A25:A81">
      <formula1>INDIRECT("Услуги[Кратко]")</formula1>
    </dataValidation>
    <dataValidation type="list" allowBlank="1" showInputMessage="1" showErrorMessage="1" sqref="D25:D81">
      <formula1>INDIRECT("Посещения")</formula1>
    </dataValidation>
  </dataValidations>
  <pageMargins left="0.25" right="0.25" top="0.75" bottom="0.75" header="0.3" footer="0.3"/>
  <pageSetup paperSize="9" scale="52" fitToHeight="0" orientation="landscape" horizontalDpi="300" verticalDpi="300" r:id="rId1"/>
  <ignoredErrors>
    <ignoredError sqref="AI13:AK17 E13:E17 B13:B17" calculatedColumn="1"/>
  </ignoredErrors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81"/>
  <sheetViews>
    <sheetView zoomScale="80" zoomScaleNormal="80" workbookViewId="0">
      <selection activeCell="B5" sqref="B5"/>
    </sheetView>
  </sheetViews>
  <sheetFormatPr defaultRowHeight="15.75" x14ac:dyDescent="0.25"/>
  <cols>
    <col min="1" max="1" width="21.42578125" style="3" customWidth="1"/>
    <col min="2" max="2" width="14.28515625" style="3" customWidth="1"/>
    <col min="3" max="3" width="17.7109375" style="3" customWidth="1"/>
    <col min="4" max="4" width="9.28515625" style="3" customWidth="1"/>
    <col min="5" max="5" width="6.85546875" style="3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8" ht="18.75" x14ac:dyDescent="0.25">
      <c r="A2" s="60" t="s">
        <v>72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</row>
    <row r="3" spans="1:38" ht="18.75" x14ac:dyDescent="0.25">
      <c r="A3" s="60" t="s">
        <v>73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</row>
    <row r="4" spans="1:38" ht="18.75" x14ac:dyDescent="0.25">
      <c r="I4" s="13"/>
      <c r="J4" s="61" t="s">
        <v>74</v>
      </c>
      <c r="K4" s="61"/>
      <c r="L4" s="61"/>
      <c r="M4" s="62"/>
      <c r="N4" s="54"/>
      <c r="O4" s="54"/>
      <c r="P4" s="54"/>
      <c r="Q4" s="54"/>
      <c r="R4" s="54"/>
      <c r="S4" s="54"/>
      <c r="T4" s="54"/>
      <c r="U4" s="54"/>
    </row>
    <row r="5" spans="1:38" ht="18.75" x14ac:dyDescent="0.25">
      <c r="L5" s="12" t="s">
        <v>75</v>
      </c>
      <c r="M5" s="63" t="s">
        <v>77</v>
      </c>
      <c r="N5" s="64"/>
      <c r="O5" s="64"/>
      <c r="P5" s="64"/>
      <c r="Q5" s="64"/>
      <c r="R5" s="37">
        <f>Год[Год]</f>
        <v>2023</v>
      </c>
      <c r="S5" s="38" t="s">
        <v>138</v>
      </c>
      <c r="T5" s="14"/>
      <c r="U5" s="14"/>
    </row>
    <row r="6" spans="1:38" ht="17.25" customHeight="1" x14ac:dyDescent="0.25"/>
    <row r="7" spans="1:38" ht="26.25" customHeight="1" x14ac:dyDescent="0.25">
      <c r="A7" s="49"/>
      <c r="B7" s="57" t="s">
        <v>121</v>
      </c>
      <c r="C7" s="57" t="s">
        <v>120</v>
      </c>
      <c r="D7" s="58" t="s">
        <v>67</v>
      </c>
      <c r="E7" s="43" t="s">
        <v>55</v>
      </c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5"/>
      <c r="AJ7" s="39" t="s">
        <v>70</v>
      </c>
      <c r="AK7" s="40" t="s">
        <v>70</v>
      </c>
    </row>
    <row r="8" spans="1:38" x14ac:dyDescent="0.25">
      <c r="A8" s="49"/>
      <c r="B8" s="52"/>
      <c r="C8" s="52"/>
      <c r="D8" s="59"/>
      <c r="E8" s="53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5"/>
      <c r="AJ8" s="39"/>
      <c r="AK8" s="41"/>
    </row>
    <row r="9" spans="1:38" x14ac:dyDescent="0.25">
      <c r="A9" s="49"/>
      <c r="B9" s="52"/>
      <c r="C9" s="52"/>
      <c r="D9" s="59"/>
      <c r="E9" s="26">
        <f>Настройки!E14</f>
        <v>45139</v>
      </c>
      <c r="F9" s="26">
        <f>Настройки!F14</f>
        <v>45140</v>
      </c>
      <c r="G9" s="26">
        <f>Настройки!G14</f>
        <v>45141</v>
      </c>
      <c r="H9" s="26">
        <f>Настройки!H14</f>
        <v>45142</v>
      </c>
      <c r="I9" s="26">
        <f>Настройки!I14</f>
        <v>45143</v>
      </c>
      <c r="J9" s="26">
        <f>Настройки!J14</f>
        <v>45144</v>
      </c>
      <c r="K9" s="26">
        <f>Настройки!K14</f>
        <v>45145</v>
      </c>
      <c r="L9" s="26">
        <f>Настройки!L14</f>
        <v>45146</v>
      </c>
      <c r="M9" s="26">
        <f>Настройки!M14</f>
        <v>45147</v>
      </c>
      <c r="N9" s="26">
        <f>Настройки!N14</f>
        <v>45148</v>
      </c>
      <c r="O9" s="26">
        <f>Настройки!O14</f>
        <v>45149</v>
      </c>
      <c r="P9" s="26">
        <f>Настройки!P14</f>
        <v>45150</v>
      </c>
      <c r="Q9" s="26">
        <f>Настройки!Q14</f>
        <v>45151</v>
      </c>
      <c r="R9" s="26">
        <f>Настройки!R14</f>
        <v>45152</v>
      </c>
      <c r="S9" s="26">
        <f>Настройки!S14</f>
        <v>45153</v>
      </c>
      <c r="T9" s="26">
        <f>Настройки!T14</f>
        <v>45154</v>
      </c>
      <c r="U9" s="26">
        <f>Настройки!U14</f>
        <v>45155</v>
      </c>
      <c r="V9" s="26">
        <f>Настройки!V14</f>
        <v>45156</v>
      </c>
      <c r="W9" s="26">
        <f>Настройки!W14</f>
        <v>45157</v>
      </c>
      <c r="X9" s="26">
        <f>Настройки!X14</f>
        <v>45158</v>
      </c>
      <c r="Y9" s="26">
        <f>Настройки!Y14</f>
        <v>45159</v>
      </c>
      <c r="Z9" s="26">
        <f>Настройки!Z14</f>
        <v>45160</v>
      </c>
      <c r="AA9" s="26">
        <f>Настройки!AA14</f>
        <v>45161</v>
      </c>
      <c r="AB9" s="26">
        <f>Настройки!AB14</f>
        <v>45162</v>
      </c>
      <c r="AC9" s="26">
        <f>Настройки!AC14</f>
        <v>45163</v>
      </c>
      <c r="AD9" s="26">
        <f>Настройки!AD14</f>
        <v>45164</v>
      </c>
      <c r="AE9" s="26">
        <f>Настройки!AE14</f>
        <v>45165</v>
      </c>
      <c r="AF9" s="26">
        <f>Настройки!AF14</f>
        <v>45166</v>
      </c>
      <c r="AG9" s="26">
        <f>Настройки!AG14</f>
        <v>45167</v>
      </c>
      <c r="AH9" s="26">
        <f>Настройки!AH14</f>
        <v>45168</v>
      </c>
      <c r="AI9" s="26">
        <f>Настройки!AI14</f>
        <v>45169</v>
      </c>
      <c r="AJ9" s="39"/>
      <c r="AK9" s="41"/>
    </row>
    <row r="10" spans="1:38" x14ac:dyDescent="0.25">
      <c r="A10" s="49"/>
      <c r="B10" s="52"/>
      <c r="C10" s="52"/>
      <c r="D10" s="59"/>
      <c r="E10" s="43" t="s">
        <v>54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5"/>
      <c r="AJ10" s="39"/>
      <c r="AK10" s="41"/>
    </row>
    <row r="11" spans="1:38" x14ac:dyDescent="0.25">
      <c r="A11" s="57"/>
      <c r="B11" s="52"/>
      <c r="C11" s="52"/>
      <c r="D11" s="59"/>
      <c r="E11" s="46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8"/>
      <c r="AJ11" s="39"/>
      <c r="AK11" s="42"/>
    </row>
    <row r="12" spans="1:38" ht="23.25" customHeight="1" x14ac:dyDescent="0.25">
      <c r="A12" s="3" t="s">
        <v>88</v>
      </c>
      <c r="B12" s="3" t="s">
        <v>87</v>
      </c>
      <c r="C12" s="3" t="s">
        <v>119</v>
      </c>
      <c r="D12" s="9" t="s">
        <v>66</v>
      </c>
      <c r="E12" s="3" t="s">
        <v>89</v>
      </c>
      <c r="F12" s="3" t="s">
        <v>90</v>
      </c>
      <c r="G12" s="3" t="s">
        <v>91</v>
      </c>
      <c r="H12" s="3" t="s">
        <v>92</v>
      </c>
      <c r="I12" s="3" t="s">
        <v>93</v>
      </c>
      <c r="J12" s="3" t="s">
        <v>94</v>
      </c>
      <c r="K12" s="3" t="s">
        <v>95</v>
      </c>
      <c r="L12" s="3" t="s">
        <v>96</v>
      </c>
      <c r="M12" s="3" t="s">
        <v>97</v>
      </c>
      <c r="N12" s="3" t="s">
        <v>98</v>
      </c>
      <c r="O12" s="3" t="s">
        <v>99</v>
      </c>
      <c r="P12" s="3" t="s">
        <v>100</v>
      </c>
      <c r="Q12" s="3" t="s">
        <v>101</v>
      </c>
      <c r="R12" s="3" t="s">
        <v>102</v>
      </c>
      <c r="S12" s="3" t="s">
        <v>103</v>
      </c>
      <c r="T12" s="3" t="s">
        <v>104</v>
      </c>
      <c r="U12" s="3" t="s">
        <v>105</v>
      </c>
      <c r="V12" s="3" t="s">
        <v>106</v>
      </c>
      <c r="W12" s="3" t="s">
        <v>107</v>
      </c>
      <c r="X12" s="3" t="s">
        <v>108</v>
      </c>
      <c r="Y12" s="3" t="s">
        <v>109</v>
      </c>
      <c r="Z12" s="3" t="s">
        <v>110</v>
      </c>
      <c r="AA12" s="3" t="s">
        <v>111</v>
      </c>
      <c r="AB12" s="3" t="s">
        <v>112</v>
      </c>
      <c r="AC12" s="3" t="s">
        <v>113</v>
      </c>
      <c r="AD12" s="3" t="s">
        <v>114</v>
      </c>
      <c r="AE12" s="3" t="s">
        <v>115</v>
      </c>
      <c r="AF12" s="3" t="s">
        <v>116</v>
      </c>
      <c r="AG12" s="3" t="s">
        <v>117</v>
      </c>
      <c r="AH12" s="3" t="s">
        <v>118</v>
      </c>
      <c r="AI12" s="3" t="s">
        <v>127</v>
      </c>
      <c r="AJ12" s="3" t="s">
        <v>68</v>
      </c>
      <c r="AK12" s="3" t="s">
        <v>69</v>
      </c>
      <c r="AL12" s="4"/>
    </row>
    <row r="13" spans="1:38" x14ac:dyDescent="0.25">
      <c r="A13" s="5" t="s">
        <v>62</v>
      </c>
      <c r="B13" s="3">
        <f>SUMPRODUCT((Настройки!$E$28:$AI$28=1)*E16:AI16)</f>
        <v>1322</v>
      </c>
      <c r="D13" s="5">
        <v>1</v>
      </c>
      <c r="E13" s="3">
        <f>SUMPRODUCT((Август[№]=1)*Август[1],Август[Периодичность])</f>
        <v>130</v>
      </c>
      <c r="F13" s="3">
        <f>SUMPRODUCT((Август[№]=1)*Август[2],Август[Периодичность])</f>
        <v>212</v>
      </c>
      <c r="G13" s="3">
        <f>SUMPRODUCT((Август[№]=1)*Август[3],Август[Периодичность])</f>
        <v>130</v>
      </c>
      <c r="H13" s="3">
        <f>SUMPRODUCT((Август[№]=1)*Август[4],Август[Периодичность])</f>
        <v>212</v>
      </c>
      <c r="I13" s="30">
        <f>SUMPRODUCT((Август[№]=1)*Август[5],Август[Периодичность])</f>
        <v>0</v>
      </c>
      <c r="J13" s="30">
        <f>SUMPRODUCT((Август[№]=1)*Август[6],Август[Периодичность])</f>
        <v>0</v>
      </c>
      <c r="K13" s="3">
        <f>SUMPRODUCT((Август[№]=1)*Август[7],Август[Периодичность])</f>
        <v>212</v>
      </c>
      <c r="L13" s="3">
        <f>SUMPRODUCT((Август[№]=1)*Август[8],Август[Периодичность])</f>
        <v>130</v>
      </c>
      <c r="M13" s="3">
        <f>SUMPRODUCT((Август[№]=1)*Август[9],Август[Периодичность])</f>
        <v>212</v>
      </c>
      <c r="N13" s="3">
        <f>SUMPRODUCT((Август[№]=1)*Август[10],Август[Периодичность])</f>
        <v>130</v>
      </c>
      <c r="O13" s="3">
        <f>SUMPRODUCT((Август[№]=1)*Август[11],Август[Периодичность])</f>
        <v>212</v>
      </c>
      <c r="P13" s="30">
        <f>SUMPRODUCT((Август[№]=1)*Август[12],Август[Периодичность])</f>
        <v>0</v>
      </c>
      <c r="Q13" s="30">
        <f>SUMPRODUCT((Август[№]=1)*Август[13],Август[Периодичность])</f>
        <v>0</v>
      </c>
      <c r="R13" s="3">
        <f>SUMPRODUCT((Август[№]=1)*Август[14],Август[Периодичность])</f>
        <v>212</v>
      </c>
      <c r="S13" s="3">
        <f>SUMPRODUCT((Август[№]=1)*Август[15],Август[Периодичность])</f>
        <v>130</v>
      </c>
      <c r="T13" s="3">
        <f>SUMPRODUCT((Август[№]=1)*Август[16],Август[Периодичность])</f>
        <v>212</v>
      </c>
      <c r="U13" s="3">
        <f>SUMPRODUCT((Август[№]=1)*Август[17],Август[Периодичность])</f>
        <v>130</v>
      </c>
      <c r="V13" s="3">
        <f>SUMPRODUCT((Август[№]=1)*Август[18],Август[Периодичность])</f>
        <v>212</v>
      </c>
      <c r="W13" s="30">
        <f>SUMPRODUCT((Август[№]=1)*Август[19],Август[Периодичность])</f>
        <v>0</v>
      </c>
      <c r="X13" s="30">
        <f>SUMPRODUCT((Август[№]=1)*Август[20],Август[Периодичность])</f>
        <v>0</v>
      </c>
      <c r="Y13" s="3">
        <f>SUMPRODUCT((Август[№]=1)*Август[21],Август[Периодичность])</f>
        <v>212</v>
      </c>
      <c r="Z13" s="3">
        <f>SUMPRODUCT((Август[№]=1)*Август[22],Август[Периодичность])</f>
        <v>130</v>
      </c>
      <c r="AA13" s="3">
        <f>SUMPRODUCT((Август[№]=1)*Август[23],Август[Периодичность])</f>
        <v>212</v>
      </c>
      <c r="AB13" s="3">
        <f>SUMPRODUCT((Август[№]=1)*Август[24],Август[Периодичность])</f>
        <v>130</v>
      </c>
      <c r="AC13" s="3">
        <f>SUMPRODUCT((Август[№]=1)*Август[25],Август[Периодичность])</f>
        <v>212</v>
      </c>
      <c r="AD13" s="30">
        <f>SUMPRODUCT((Август[№]=1)*Август[26],Август[Периодичность])</f>
        <v>0</v>
      </c>
      <c r="AE13" s="30">
        <f>SUMPRODUCT((Август[№]=1)*Август[27],Август[Периодичность])</f>
        <v>0</v>
      </c>
      <c r="AF13" s="3">
        <f>SUMPRODUCT((Август[№]=1)*Август[28],Август[Периодичность])</f>
        <v>212</v>
      </c>
      <c r="AG13" s="3">
        <f>SUMPRODUCT((Август[№]=1)*Август[29],Август[Периодичность])</f>
        <v>130</v>
      </c>
      <c r="AH13" s="3">
        <f>SUMPRODUCT((Август[№]=1)*Август[30],Август[Периодичность])</f>
        <v>212</v>
      </c>
      <c r="AI13" s="3">
        <f>SUMPRODUCT((Август[№]=1)*Август[31],Август[Периодичность])</f>
        <v>130</v>
      </c>
      <c r="AL13" s="4"/>
    </row>
    <row r="14" spans="1:38" x14ac:dyDescent="0.25">
      <c r="B14" s="15">
        <f>SUMPRODUCT((Настройки!$E$28:$AI$28=2)*E16:AI16)</f>
        <v>1655</v>
      </c>
      <c r="D14" s="5">
        <v>2</v>
      </c>
      <c r="E14" s="3">
        <f>SUMPRODUCT((Август[№]=2)*Август[1],Август[Периодичность])</f>
        <v>53</v>
      </c>
      <c r="F14" s="3">
        <f>SUMPRODUCT((Август[№]=2)*Август[2],Август[Периодичность])</f>
        <v>53</v>
      </c>
      <c r="G14" s="3">
        <f>SUMPRODUCT((Август[№]=2)*Август[3],Август[Периодичность])</f>
        <v>53</v>
      </c>
      <c r="H14" s="3">
        <f>SUMPRODUCT((Август[№]=2)*Август[4],Август[Периодичность])</f>
        <v>53</v>
      </c>
      <c r="I14" s="30">
        <f>SUMPRODUCT((Август[№]=2)*Август[5],Август[Периодичность])</f>
        <v>0</v>
      </c>
      <c r="J14" s="30">
        <f>SUMPRODUCT((Август[№]=2)*Август[6],Август[Периодичность])</f>
        <v>0</v>
      </c>
      <c r="K14" s="3">
        <f>SUMPRODUCT((Август[№]=2)*Август[7],Август[Периодичность])</f>
        <v>53</v>
      </c>
      <c r="L14" s="3">
        <f>SUMPRODUCT((Август[№]=2)*Август[8],Август[Периодичность])</f>
        <v>53</v>
      </c>
      <c r="M14" s="3">
        <f>SUMPRODUCT((Август[№]=2)*Август[9],Август[Периодичность])</f>
        <v>53</v>
      </c>
      <c r="N14" s="3">
        <f>SUMPRODUCT((Август[№]=2)*Август[10],Август[Периодичность])</f>
        <v>53</v>
      </c>
      <c r="O14" s="3">
        <f>SUMPRODUCT((Август[№]=2)*Август[11],Август[Периодичность])</f>
        <v>53</v>
      </c>
      <c r="P14" s="30">
        <f>SUMPRODUCT((Август[№]=2)*Август[12],Август[Периодичность])</f>
        <v>0</v>
      </c>
      <c r="Q14" s="30">
        <f>SUMPRODUCT((Август[№]=2)*Август[13],Август[Периодичность])</f>
        <v>0</v>
      </c>
      <c r="R14" s="3">
        <f>SUMPRODUCT((Август[№]=2)*Август[14],Август[Периодичность])</f>
        <v>53</v>
      </c>
      <c r="S14" s="3">
        <f>SUMPRODUCT((Август[№]=2)*Август[15],Август[Периодичность])</f>
        <v>53</v>
      </c>
      <c r="T14" s="3">
        <f>SUMPRODUCT((Август[№]=2)*Август[16],Август[Периодичность])</f>
        <v>53</v>
      </c>
      <c r="U14" s="3">
        <f>SUMPRODUCT((Август[№]=2)*Август[17],Август[Периодичность])</f>
        <v>53</v>
      </c>
      <c r="V14" s="3">
        <f>SUMPRODUCT((Август[№]=2)*Август[18],Август[Периодичность])</f>
        <v>53</v>
      </c>
      <c r="W14" s="30">
        <f>SUMPRODUCT((Август[№]=2)*Август[19],Август[Периодичность])</f>
        <v>0</v>
      </c>
      <c r="X14" s="30">
        <f>SUMPRODUCT((Август[№]=2)*Август[20],Август[Периодичность])</f>
        <v>0</v>
      </c>
      <c r="Y14" s="3">
        <f>SUMPRODUCT((Август[№]=2)*Август[21],Август[Периодичность])</f>
        <v>53</v>
      </c>
      <c r="Z14" s="3">
        <f>SUMPRODUCT((Август[№]=2)*Август[22],Август[Периодичность])</f>
        <v>53</v>
      </c>
      <c r="AA14" s="3">
        <f>SUMPRODUCT((Август[№]=2)*Август[23],Август[Периодичность])</f>
        <v>53</v>
      </c>
      <c r="AB14" s="3">
        <f>SUMPRODUCT((Август[№]=2)*Август[24],Август[Периодичность])</f>
        <v>53</v>
      </c>
      <c r="AC14" s="3">
        <f>SUMPRODUCT((Август[№]=2)*Август[25],Август[Периодичность])</f>
        <v>53</v>
      </c>
      <c r="AD14" s="30">
        <f>SUMPRODUCT((Август[№]=2)*Август[26],Август[Периодичность])</f>
        <v>0</v>
      </c>
      <c r="AE14" s="30">
        <f>SUMPRODUCT((Август[№]=2)*Август[27],Август[Периодичность])</f>
        <v>0</v>
      </c>
      <c r="AF14" s="3">
        <f>SUMPRODUCT((Август[№]=2)*Август[28],Август[Периодичность])</f>
        <v>53</v>
      </c>
      <c r="AG14" s="3">
        <f>SUMPRODUCT((Август[№]=2)*Август[29],Август[Периодичность])</f>
        <v>53</v>
      </c>
      <c r="AH14" s="3">
        <f>SUMPRODUCT((Август[№]=2)*Август[30],Август[Периодичность])</f>
        <v>53</v>
      </c>
      <c r="AI14" s="3">
        <f>SUMPRODUCT((Август[№]=2)*Август[31],Август[Периодичность])</f>
        <v>53</v>
      </c>
    </row>
    <row r="15" spans="1:38" ht="22.5" customHeight="1" x14ac:dyDescent="0.25">
      <c r="B15" s="15">
        <f>SUMPRODUCT((Настройки!$E$28:$AI$28=3)*E16:AI16)</f>
        <v>1655</v>
      </c>
      <c r="D15" s="5">
        <v>3</v>
      </c>
      <c r="E15" s="3">
        <f>SUMPRODUCT((Август[№]=3)*Август[1],Август[Периодичность])</f>
        <v>113</v>
      </c>
      <c r="F15" s="3">
        <f>SUMPRODUCT((Август[№]=3)*Август[2],Август[Периодичность])</f>
        <v>68</v>
      </c>
      <c r="G15" s="3">
        <f>SUMPRODUCT((Август[№]=3)*Август[3],Август[Периодичность])</f>
        <v>132</v>
      </c>
      <c r="H15" s="3">
        <f>SUMPRODUCT((Август[№]=3)*Август[4],Август[Периодичность])</f>
        <v>113</v>
      </c>
      <c r="I15" s="30">
        <f>SUMPRODUCT((Август[№]=3)*Август[5],Август[Периодичность])</f>
        <v>0</v>
      </c>
      <c r="J15" s="30">
        <f>SUMPRODUCT((Август[№]=3)*Август[6],Август[Периодичность])</f>
        <v>0</v>
      </c>
      <c r="K15" s="3">
        <f>SUMPRODUCT((Август[№]=3)*Август[7],Август[Периодичность])</f>
        <v>68</v>
      </c>
      <c r="L15" s="3">
        <f>SUMPRODUCT((Август[№]=3)*Август[8],Август[Периодичность])</f>
        <v>113</v>
      </c>
      <c r="M15" s="3">
        <f>SUMPRODUCT((Август[№]=3)*Август[9],Август[Периодичность])</f>
        <v>68</v>
      </c>
      <c r="N15" s="3">
        <f>SUMPRODUCT((Август[№]=3)*Август[10],Август[Периодичность])</f>
        <v>132</v>
      </c>
      <c r="O15" s="3">
        <f>SUMPRODUCT((Август[№]=3)*Август[11],Август[Периодичность])</f>
        <v>113</v>
      </c>
      <c r="P15" s="30">
        <f>SUMPRODUCT((Август[№]=3)*Август[12],Август[Периодичность])</f>
        <v>0</v>
      </c>
      <c r="Q15" s="30">
        <f>SUMPRODUCT((Август[№]=3)*Август[13],Август[Периодичность])</f>
        <v>0</v>
      </c>
      <c r="R15" s="3">
        <f>SUMPRODUCT((Август[№]=3)*Август[14],Август[Периодичность])</f>
        <v>68</v>
      </c>
      <c r="S15" s="3">
        <f>SUMPRODUCT((Август[№]=3)*Август[15],Август[Периодичность])</f>
        <v>113</v>
      </c>
      <c r="T15" s="3">
        <f>SUMPRODUCT((Август[№]=3)*Август[16],Август[Периодичность])</f>
        <v>68</v>
      </c>
      <c r="U15" s="3">
        <f>SUMPRODUCT((Август[№]=3)*Август[17],Август[Периодичность])</f>
        <v>132</v>
      </c>
      <c r="V15" s="3">
        <f>SUMPRODUCT((Август[№]=3)*Август[18],Август[Периодичность])</f>
        <v>113</v>
      </c>
      <c r="W15" s="30">
        <f>SUMPRODUCT((Август[№]=3)*Август[19],Август[Периодичность])</f>
        <v>0</v>
      </c>
      <c r="X15" s="30">
        <f>SUMPRODUCT((Август[№]=3)*Август[20],Август[Периодичность])</f>
        <v>0</v>
      </c>
      <c r="Y15" s="3">
        <f>SUMPRODUCT((Август[№]=3)*Август[21],Август[Периодичность])</f>
        <v>68</v>
      </c>
      <c r="Z15" s="3">
        <f>SUMPRODUCT((Август[№]=3)*Август[22],Август[Периодичность])</f>
        <v>113</v>
      </c>
      <c r="AA15" s="3">
        <f>SUMPRODUCT((Август[№]=3)*Август[23],Август[Периодичность])</f>
        <v>68</v>
      </c>
      <c r="AB15" s="3">
        <f>SUMPRODUCT((Август[№]=3)*Август[24],Август[Периодичность])</f>
        <v>132</v>
      </c>
      <c r="AC15" s="3">
        <f>SUMPRODUCT((Август[№]=3)*Август[25],Август[Периодичность])</f>
        <v>113</v>
      </c>
      <c r="AD15" s="30">
        <f>SUMPRODUCT((Август[№]=3)*Август[26],Август[Периодичность])</f>
        <v>0</v>
      </c>
      <c r="AE15" s="30">
        <f>SUMPRODUCT((Август[№]=3)*Август[27],Август[Периодичность])</f>
        <v>0</v>
      </c>
      <c r="AF15" s="3">
        <f>SUMPRODUCT((Август[№]=3)*Август[28],Август[Периодичность])</f>
        <v>68</v>
      </c>
      <c r="AG15" s="3">
        <f>SUMPRODUCT((Август[№]=3)*Август[29],Август[Периодичность])</f>
        <v>113</v>
      </c>
      <c r="AH15" s="3">
        <f>SUMPRODUCT((Август[№]=3)*Август[30],Август[Периодичность])</f>
        <v>117</v>
      </c>
      <c r="AI15" s="3">
        <f>SUMPRODUCT((Август[№]=3)*Август[31],Август[Периодичность])</f>
        <v>83</v>
      </c>
      <c r="AK15" s="11"/>
    </row>
    <row r="16" spans="1:38" ht="22.5" customHeight="1" x14ac:dyDescent="0.25">
      <c r="B16" s="15">
        <f>SUMPRODUCT((Настройки!$E$28:$AI$28=4)*E16:AI16)</f>
        <v>1655</v>
      </c>
      <c r="D16" s="5"/>
      <c r="E16" s="3">
        <f t="shared" ref="E16:AH16" si="0">SUM(E13:E15)</f>
        <v>296</v>
      </c>
      <c r="F16" s="3">
        <f t="shared" si="0"/>
        <v>333</v>
      </c>
      <c r="G16" s="3">
        <f t="shared" si="0"/>
        <v>315</v>
      </c>
      <c r="H16" s="3">
        <f t="shared" si="0"/>
        <v>378</v>
      </c>
      <c r="I16" s="30">
        <f t="shared" si="0"/>
        <v>0</v>
      </c>
      <c r="J16" s="30">
        <f t="shared" si="0"/>
        <v>0</v>
      </c>
      <c r="K16" s="3">
        <f t="shared" si="0"/>
        <v>333</v>
      </c>
      <c r="L16" s="3">
        <f t="shared" si="0"/>
        <v>296</v>
      </c>
      <c r="M16" s="3">
        <f t="shared" si="0"/>
        <v>333</v>
      </c>
      <c r="N16" s="3">
        <f t="shared" si="0"/>
        <v>315</v>
      </c>
      <c r="O16" s="3">
        <f t="shared" si="0"/>
        <v>378</v>
      </c>
      <c r="P16" s="30">
        <f t="shared" si="0"/>
        <v>0</v>
      </c>
      <c r="Q16" s="30">
        <f t="shared" si="0"/>
        <v>0</v>
      </c>
      <c r="R16" s="3">
        <f t="shared" si="0"/>
        <v>333</v>
      </c>
      <c r="S16" s="3">
        <f t="shared" si="0"/>
        <v>296</v>
      </c>
      <c r="T16" s="3">
        <f t="shared" si="0"/>
        <v>333</v>
      </c>
      <c r="U16" s="3">
        <f t="shared" si="0"/>
        <v>315</v>
      </c>
      <c r="V16" s="3">
        <f t="shared" si="0"/>
        <v>378</v>
      </c>
      <c r="W16" s="30">
        <f t="shared" si="0"/>
        <v>0</v>
      </c>
      <c r="X16" s="30">
        <f t="shared" si="0"/>
        <v>0</v>
      </c>
      <c r="Y16" s="3">
        <f t="shared" si="0"/>
        <v>333</v>
      </c>
      <c r="Z16" s="3">
        <f t="shared" si="0"/>
        <v>296</v>
      </c>
      <c r="AA16" s="3">
        <f t="shared" si="0"/>
        <v>333</v>
      </c>
      <c r="AB16" s="3">
        <f t="shared" si="0"/>
        <v>315</v>
      </c>
      <c r="AC16" s="3">
        <f t="shared" si="0"/>
        <v>378</v>
      </c>
      <c r="AD16" s="30">
        <f t="shared" si="0"/>
        <v>0</v>
      </c>
      <c r="AE16" s="30">
        <f t="shared" si="0"/>
        <v>0</v>
      </c>
      <c r="AF16" s="3">
        <f t="shared" si="0"/>
        <v>333</v>
      </c>
      <c r="AG16" s="3">
        <f t="shared" si="0"/>
        <v>296</v>
      </c>
      <c r="AH16" s="3">
        <f t="shared" si="0"/>
        <v>382</v>
      </c>
      <c r="AI16" s="3">
        <f>SUM(AI13:AI15)</f>
        <v>266</v>
      </c>
      <c r="AK16" s="11"/>
    </row>
    <row r="17" spans="1:37" ht="20.25" customHeight="1" x14ac:dyDescent="0.25">
      <c r="B17" s="3">
        <f>SUMPRODUCT((Настройки!$E$28:$AI$28=5)*E16:AI16)</f>
        <v>1277</v>
      </c>
      <c r="C17" s="5">
        <f>АвгустИтоги[[#This Row],[№]]*60</f>
        <v>7563.9999999999991</v>
      </c>
      <c r="D17" s="7">
        <f>SUM(АвгустИтоги[[#This Row],[1]:[31]])</f>
        <v>126.06666666666665</v>
      </c>
      <c r="E17" s="6">
        <f>E16/60</f>
        <v>4.9333333333333336</v>
      </c>
      <c r="F17" s="6">
        <f t="shared" ref="F17:AH17" si="1">F16/60</f>
        <v>5.55</v>
      </c>
      <c r="G17" s="6">
        <f t="shared" si="1"/>
        <v>5.25</v>
      </c>
      <c r="H17" s="6">
        <f t="shared" si="1"/>
        <v>6.3</v>
      </c>
      <c r="I17" s="31">
        <f t="shared" si="1"/>
        <v>0</v>
      </c>
      <c r="J17" s="31">
        <f t="shared" si="1"/>
        <v>0</v>
      </c>
      <c r="K17" s="6">
        <f t="shared" si="1"/>
        <v>5.55</v>
      </c>
      <c r="L17" s="6">
        <f t="shared" si="1"/>
        <v>4.9333333333333336</v>
      </c>
      <c r="M17" s="6">
        <f t="shared" si="1"/>
        <v>5.55</v>
      </c>
      <c r="N17" s="6">
        <f t="shared" si="1"/>
        <v>5.25</v>
      </c>
      <c r="O17" s="6">
        <f t="shared" si="1"/>
        <v>6.3</v>
      </c>
      <c r="P17" s="31">
        <f t="shared" si="1"/>
        <v>0</v>
      </c>
      <c r="Q17" s="31">
        <f t="shared" si="1"/>
        <v>0</v>
      </c>
      <c r="R17" s="6">
        <f t="shared" si="1"/>
        <v>5.55</v>
      </c>
      <c r="S17" s="6">
        <f t="shared" si="1"/>
        <v>4.9333333333333336</v>
      </c>
      <c r="T17" s="6">
        <f t="shared" si="1"/>
        <v>5.55</v>
      </c>
      <c r="U17" s="6">
        <f t="shared" si="1"/>
        <v>5.25</v>
      </c>
      <c r="V17" s="6">
        <f t="shared" si="1"/>
        <v>6.3</v>
      </c>
      <c r="W17" s="31">
        <f t="shared" si="1"/>
        <v>0</v>
      </c>
      <c r="X17" s="31">
        <f t="shared" si="1"/>
        <v>0</v>
      </c>
      <c r="Y17" s="6">
        <f t="shared" si="1"/>
        <v>5.55</v>
      </c>
      <c r="Z17" s="6">
        <f t="shared" si="1"/>
        <v>4.9333333333333336</v>
      </c>
      <c r="AA17" s="6">
        <f t="shared" si="1"/>
        <v>5.55</v>
      </c>
      <c r="AB17" s="6">
        <f t="shared" si="1"/>
        <v>5.25</v>
      </c>
      <c r="AC17" s="6">
        <f t="shared" si="1"/>
        <v>6.3</v>
      </c>
      <c r="AD17" s="31">
        <f t="shared" si="1"/>
        <v>0</v>
      </c>
      <c r="AE17" s="31">
        <f t="shared" si="1"/>
        <v>0</v>
      </c>
      <c r="AF17" s="6">
        <f t="shared" si="1"/>
        <v>5.55</v>
      </c>
      <c r="AG17" s="6">
        <f t="shared" si="1"/>
        <v>4.9333333333333336</v>
      </c>
      <c r="AH17" s="6">
        <f t="shared" si="1"/>
        <v>6.3666666666666663</v>
      </c>
      <c r="AI17" s="6">
        <f>AI16/60</f>
        <v>4.4333333333333336</v>
      </c>
      <c r="AJ17" s="5">
        <f ca="1">SUM(Август[УСЛУГ])</f>
        <v>554</v>
      </c>
      <c r="AK17" s="21">
        <f ca="1">SUM(Август[МИНУТ])</f>
        <v>7564</v>
      </c>
    </row>
    <row r="18" spans="1:37" ht="22.5" customHeight="1" x14ac:dyDescent="0.25"/>
    <row r="19" spans="1:37" ht="18" customHeight="1" x14ac:dyDescent="0.25">
      <c r="A19" s="49" t="s">
        <v>52</v>
      </c>
      <c r="B19" s="49" t="s">
        <v>53</v>
      </c>
      <c r="C19" s="50"/>
      <c r="D19" s="51" t="s">
        <v>67</v>
      </c>
      <c r="E19" s="43" t="s">
        <v>55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5"/>
      <c r="AJ19" s="39" t="s">
        <v>70</v>
      </c>
      <c r="AK19" s="40" t="s">
        <v>70</v>
      </c>
    </row>
    <row r="20" spans="1:37" ht="21.75" customHeight="1" x14ac:dyDescent="0.25">
      <c r="A20" s="49"/>
      <c r="B20" s="49"/>
      <c r="C20" s="50"/>
      <c r="D20" s="52"/>
      <c r="E20" s="53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5"/>
      <c r="AJ20" s="39"/>
      <c r="AK20" s="41"/>
    </row>
    <row r="21" spans="1:37" x14ac:dyDescent="0.25">
      <c r="A21" s="49"/>
      <c r="B21" s="49"/>
      <c r="C21" s="50"/>
      <c r="D21" s="52"/>
      <c r="E21" s="26">
        <f>Настройки!E14</f>
        <v>45139</v>
      </c>
      <c r="F21" s="26">
        <f>Настройки!F14</f>
        <v>45140</v>
      </c>
      <c r="G21" s="26">
        <f>Настройки!G14</f>
        <v>45141</v>
      </c>
      <c r="H21" s="26">
        <f>Настройки!H14</f>
        <v>45142</v>
      </c>
      <c r="I21" s="26">
        <f>Настройки!I14</f>
        <v>45143</v>
      </c>
      <c r="J21" s="26">
        <f>Настройки!J14</f>
        <v>45144</v>
      </c>
      <c r="K21" s="26">
        <f>Настройки!K14</f>
        <v>45145</v>
      </c>
      <c r="L21" s="26">
        <f>Настройки!L14</f>
        <v>45146</v>
      </c>
      <c r="M21" s="26">
        <f>Настройки!M14</f>
        <v>45147</v>
      </c>
      <c r="N21" s="26">
        <f>Настройки!N14</f>
        <v>45148</v>
      </c>
      <c r="O21" s="26">
        <f>Настройки!O14</f>
        <v>45149</v>
      </c>
      <c r="P21" s="26">
        <f>Настройки!P14</f>
        <v>45150</v>
      </c>
      <c r="Q21" s="26">
        <f>Настройки!Q14</f>
        <v>45151</v>
      </c>
      <c r="R21" s="26">
        <f>Настройки!R14</f>
        <v>45152</v>
      </c>
      <c r="S21" s="26">
        <f>Настройки!S14</f>
        <v>45153</v>
      </c>
      <c r="T21" s="26">
        <f>Настройки!T14</f>
        <v>45154</v>
      </c>
      <c r="U21" s="26">
        <f>Настройки!U14</f>
        <v>45155</v>
      </c>
      <c r="V21" s="26">
        <f>Настройки!V14</f>
        <v>45156</v>
      </c>
      <c r="W21" s="26">
        <f>Настройки!W14</f>
        <v>45157</v>
      </c>
      <c r="X21" s="26">
        <f>Настройки!X14</f>
        <v>45158</v>
      </c>
      <c r="Y21" s="26">
        <f>Настройки!Y14</f>
        <v>45159</v>
      </c>
      <c r="Z21" s="26">
        <f>Настройки!Z14</f>
        <v>45160</v>
      </c>
      <c r="AA21" s="26">
        <f>Настройки!AA14</f>
        <v>45161</v>
      </c>
      <c r="AB21" s="26">
        <f>Настройки!AB14</f>
        <v>45162</v>
      </c>
      <c r="AC21" s="26">
        <f>Настройки!AC14</f>
        <v>45163</v>
      </c>
      <c r="AD21" s="26">
        <f>Настройки!AD14</f>
        <v>45164</v>
      </c>
      <c r="AE21" s="26">
        <f>Настройки!AE14</f>
        <v>45165</v>
      </c>
      <c r="AF21" s="26">
        <f>Настройки!AF14</f>
        <v>45166</v>
      </c>
      <c r="AG21" s="26">
        <f>Настройки!AG14</f>
        <v>45167</v>
      </c>
      <c r="AH21" s="26">
        <f>Настройки!AH14</f>
        <v>45168</v>
      </c>
      <c r="AI21" s="26">
        <f>Настройки!AI14</f>
        <v>45169</v>
      </c>
      <c r="AJ21" s="39"/>
      <c r="AK21" s="41"/>
    </row>
    <row r="22" spans="1:37" x14ac:dyDescent="0.25">
      <c r="A22" s="49"/>
      <c r="B22" s="49"/>
      <c r="C22" s="50"/>
      <c r="D22" s="52"/>
      <c r="E22" s="49" t="s">
        <v>54</v>
      </c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56"/>
      <c r="AJ22" s="39"/>
      <c r="AK22" s="41"/>
    </row>
    <row r="23" spans="1:37" x14ac:dyDescent="0.25">
      <c r="A23" s="49"/>
      <c r="B23" s="49"/>
      <c r="C23" s="50"/>
      <c r="D23" s="52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56"/>
      <c r="AJ23" s="39"/>
      <c r="AK23" s="42"/>
    </row>
    <row r="24" spans="1:37" ht="23.25" customHeight="1" x14ac:dyDescent="0.25">
      <c r="A24" s="3" t="s">
        <v>65</v>
      </c>
      <c r="B24" s="2" t="s">
        <v>63</v>
      </c>
      <c r="C24" s="3" t="s">
        <v>64</v>
      </c>
      <c r="D24" s="9" t="s">
        <v>66</v>
      </c>
      <c r="E24" s="3" t="s">
        <v>89</v>
      </c>
      <c r="F24" s="3" t="s">
        <v>90</v>
      </c>
      <c r="G24" s="3" t="s">
        <v>91</v>
      </c>
      <c r="H24" s="3" t="s">
        <v>92</v>
      </c>
      <c r="I24" s="3" t="s">
        <v>93</v>
      </c>
      <c r="J24" s="3" t="s">
        <v>94</v>
      </c>
      <c r="K24" s="3" t="s">
        <v>95</v>
      </c>
      <c r="L24" s="3" t="s">
        <v>96</v>
      </c>
      <c r="M24" s="3" t="s">
        <v>97</v>
      </c>
      <c r="N24" s="3" t="s">
        <v>98</v>
      </c>
      <c r="O24" s="3" t="s">
        <v>99</v>
      </c>
      <c r="P24" s="3" t="s">
        <v>100</v>
      </c>
      <c r="Q24" s="3" t="s">
        <v>101</v>
      </c>
      <c r="R24" s="3" t="s">
        <v>102</v>
      </c>
      <c r="S24" s="3" t="s">
        <v>103</v>
      </c>
      <c r="T24" s="3" t="s">
        <v>104</v>
      </c>
      <c r="U24" s="3" t="s">
        <v>105</v>
      </c>
      <c r="V24" s="3" t="s">
        <v>106</v>
      </c>
      <c r="W24" s="3" t="s">
        <v>107</v>
      </c>
      <c r="X24" s="3" t="s">
        <v>108</v>
      </c>
      <c r="Y24" s="3" t="s">
        <v>109</v>
      </c>
      <c r="Z24" s="3" t="s">
        <v>110</v>
      </c>
      <c r="AA24" s="3" t="s">
        <v>111</v>
      </c>
      <c r="AB24" s="3" t="s">
        <v>112</v>
      </c>
      <c r="AC24" s="3" t="s">
        <v>113</v>
      </c>
      <c r="AD24" s="3" t="s">
        <v>114</v>
      </c>
      <c r="AE24" s="3" t="s">
        <v>115</v>
      </c>
      <c r="AF24" s="3" t="s">
        <v>116</v>
      </c>
      <c r="AG24" s="3" t="s">
        <v>117</v>
      </c>
      <c r="AH24" s="3" t="s">
        <v>118</v>
      </c>
      <c r="AI24" s="3" t="s">
        <v>127</v>
      </c>
      <c r="AJ24" s="3" t="s">
        <v>68</v>
      </c>
      <c r="AK24" s="3" t="s">
        <v>69</v>
      </c>
    </row>
    <row r="25" spans="1:37" ht="31.5" x14ac:dyDescent="0.25">
      <c r="A25" s="16" t="s">
        <v>1</v>
      </c>
      <c r="B25" s="2" t="s">
        <v>56</v>
      </c>
      <c r="C25" s="8">
        <v>60</v>
      </c>
      <c r="D25" s="11">
        <v>1</v>
      </c>
      <c r="E25" s="18"/>
      <c r="F25" s="18">
        <v>1</v>
      </c>
      <c r="G25" s="18"/>
      <c r="H25" s="18">
        <v>1</v>
      </c>
      <c r="I25" s="18"/>
      <c r="J25" s="18"/>
      <c r="K25" s="18">
        <v>1</v>
      </c>
      <c r="L25" s="18"/>
      <c r="M25" s="18">
        <v>1</v>
      </c>
      <c r="N25" s="18"/>
      <c r="O25" s="18">
        <v>1</v>
      </c>
      <c r="P25" s="18"/>
      <c r="Q25" s="18"/>
      <c r="R25" s="18">
        <v>1</v>
      </c>
      <c r="S25" s="18"/>
      <c r="T25" s="18">
        <v>1</v>
      </c>
      <c r="U25" s="18"/>
      <c r="V25" s="18">
        <v>1</v>
      </c>
      <c r="W25" s="18"/>
      <c r="X25" s="18"/>
      <c r="Y25" s="18">
        <v>1</v>
      </c>
      <c r="Z25" s="18"/>
      <c r="AA25" s="18">
        <v>1</v>
      </c>
      <c r="AB25" s="18"/>
      <c r="AC25" s="18">
        <v>1</v>
      </c>
      <c r="AD25" s="18"/>
      <c r="AE25" s="18"/>
      <c r="AF25" s="18">
        <v>1</v>
      </c>
      <c r="AG25" s="18"/>
      <c r="AH25" s="18">
        <v>1</v>
      </c>
      <c r="AI25" s="19"/>
      <c r="AJ25" s="5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13</v>
      </c>
      <c r="AK25" s="5">
        <f ca="1">IF(Август[[#This Row],[УСЛУГ]]&lt;&gt;"",Август[[#This Row],[УСЛУГ]]*Август[[#This Row],[Периодичность]],"")</f>
        <v>780</v>
      </c>
    </row>
    <row r="26" spans="1:37" x14ac:dyDescent="0.25">
      <c r="A26" s="16"/>
      <c r="B26" s="2"/>
      <c r="C26" s="8">
        <v>60</v>
      </c>
      <c r="D26" s="11">
        <v>2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5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26" s="5" t="str">
        <f ca="1">IF(Август[[#This Row],[УСЛУГ]]&lt;&gt;"",Август[[#This Row],[УСЛУГ]]*Август[[#This Row],[Периодичность]],"")</f>
        <v/>
      </c>
    </row>
    <row r="27" spans="1:37" x14ac:dyDescent="0.25">
      <c r="A27" s="16"/>
      <c r="B27" s="2"/>
      <c r="C27" s="8">
        <v>60</v>
      </c>
      <c r="D27" s="11">
        <v>3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5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27" s="5" t="str">
        <f ca="1">IF(Август[[#This Row],[УСЛУГ]]&lt;&gt;"",Август[[#This Row],[УСЛУГ]]*Август[[#This Row],[Периодичность]],"")</f>
        <v/>
      </c>
    </row>
    <row r="28" spans="1:37" ht="31.5" x14ac:dyDescent="0.25">
      <c r="A28" s="16" t="s">
        <v>3</v>
      </c>
      <c r="B28" s="2" t="s">
        <v>58</v>
      </c>
      <c r="C28" s="8">
        <v>10</v>
      </c>
      <c r="D28" s="11">
        <v>1</v>
      </c>
      <c r="E28" s="18">
        <v>1</v>
      </c>
      <c r="F28" s="18">
        <v>1</v>
      </c>
      <c r="G28" s="18">
        <v>1</v>
      </c>
      <c r="H28" s="18">
        <v>1</v>
      </c>
      <c r="I28" s="18"/>
      <c r="J28" s="18"/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8"/>
      <c r="Q28" s="18"/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8"/>
      <c r="X28" s="18"/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8"/>
      <c r="AE28" s="18"/>
      <c r="AF28" s="18">
        <v>1</v>
      </c>
      <c r="AG28" s="18">
        <v>1</v>
      </c>
      <c r="AH28" s="18">
        <v>1</v>
      </c>
      <c r="AI28" s="20">
        <v>1</v>
      </c>
      <c r="AJ28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69</v>
      </c>
      <c r="AK28" s="29">
        <f ca="1">IF(Август[[#This Row],[УСЛУГ]]&lt;&gt;"",Август[[#This Row],[УСЛУГ]]*Август[[#This Row],[Периодичность]],"")</f>
        <v>690</v>
      </c>
    </row>
    <row r="29" spans="1:37" ht="18.75" x14ac:dyDescent="0.25">
      <c r="A29" s="16"/>
      <c r="B29" s="2"/>
      <c r="C29" s="8">
        <v>10</v>
      </c>
      <c r="D29" s="11">
        <v>2</v>
      </c>
      <c r="E29" s="18">
        <v>1</v>
      </c>
      <c r="F29" s="18">
        <v>1</v>
      </c>
      <c r="G29" s="18">
        <v>1</v>
      </c>
      <c r="H29" s="18">
        <v>1</v>
      </c>
      <c r="I29" s="18"/>
      <c r="J29" s="18"/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8"/>
      <c r="Q29" s="18"/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8"/>
      <c r="X29" s="18"/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8"/>
      <c r="AE29" s="18"/>
      <c r="AF29" s="18">
        <v>1</v>
      </c>
      <c r="AG29" s="18">
        <v>1</v>
      </c>
      <c r="AH29" s="18">
        <v>1</v>
      </c>
      <c r="AI29" s="20">
        <v>1</v>
      </c>
      <c r="AJ29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29" s="29" t="str">
        <f ca="1">IF(Август[[#This Row],[УСЛУГ]]&lt;&gt;"",Август[[#This Row],[УСЛУГ]]*Август[[#This Row],[Периодичность]],"")</f>
        <v/>
      </c>
    </row>
    <row r="30" spans="1:37" x14ac:dyDescent="0.25">
      <c r="A30" s="16"/>
      <c r="B30" s="2"/>
      <c r="C30" s="8">
        <v>10</v>
      </c>
      <c r="D30" s="11">
        <v>3</v>
      </c>
      <c r="E30" s="18">
        <v>1</v>
      </c>
      <c r="F30" s="18">
        <v>1</v>
      </c>
      <c r="G30" s="18">
        <v>1</v>
      </c>
      <c r="H30" s="18">
        <v>1</v>
      </c>
      <c r="I30" s="18"/>
      <c r="J30" s="18"/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8"/>
      <c r="Q30" s="18"/>
      <c r="R30" s="10">
        <v>1</v>
      </c>
      <c r="S30" s="10">
        <v>1</v>
      </c>
      <c r="T30" s="10">
        <v>1</v>
      </c>
      <c r="U30" s="10">
        <v>1</v>
      </c>
      <c r="V30" s="10">
        <v>1</v>
      </c>
      <c r="W30" s="18"/>
      <c r="X30" s="18"/>
      <c r="Y30" s="10">
        <v>1</v>
      </c>
      <c r="Z30" s="10">
        <v>1</v>
      </c>
      <c r="AA30" s="10">
        <v>1</v>
      </c>
      <c r="AB30" s="10">
        <v>1</v>
      </c>
      <c r="AC30" s="10">
        <v>1</v>
      </c>
      <c r="AD30" s="18"/>
      <c r="AE30" s="18"/>
      <c r="AF30" s="18">
        <v>1</v>
      </c>
      <c r="AG30" s="18">
        <v>1</v>
      </c>
      <c r="AH30" s="18">
        <v>1</v>
      </c>
      <c r="AI30" s="19">
        <v>1</v>
      </c>
      <c r="AJ30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30" s="29" t="str">
        <f ca="1">IF(Август[[#This Row],[УСЛУГ]]&lt;&gt;"",Август[[#This Row],[УСЛУГ]]*Август[[#This Row],[Периодичность]],"")</f>
        <v/>
      </c>
    </row>
    <row r="31" spans="1:37" x14ac:dyDescent="0.25">
      <c r="A31" s="16" t="s">
        <v>5</v>
      </c>
      <c r="B31" s="2" t="s">
        <v>58</v>
      </c>
      <c r="C31" s="8">
        <v>30</v>
      </c>
      <c r="D31" s="11">
        <v>1</v>
      </c>
      <c r="E31" s="18">
        <v>1</v>
      </c>
      <c r="F31" s="18">
        <v>1</v>
      </c>
      <c r="G31" s="18">
        <v>1</v>
      </c>
      <c r="H31" s="18">
        <v>1</v>
      </c>
      <c r="I31" s="18"/>
      <c r="J31" s="18"/>
      <c r="K31" s="18">
        <v>1</v>
      </c>
      <c r="L31" s="18">
        <v>1</v>
      </c>
      <c r="M31" s="18">
        <v>1</v>
      </c>
      <c r="N31" s="18">
        <v>1</v>
      </c>
      <c r="O31" s="18">
        <v>1</v>
      </c>
      <c r="P31" s="18"/>
      <c r="Q31" s="18"/>
      <c r="R31" s="18">
        <v>1</v>
      </c>
      <c r="S31" s="18">
        <v>1</v>
      </c>
      <c r="T31" s="18">
        <v>1</v>
      </c>
      <c r="U31" s="18">
        <v>1</v>
      </c>
      <c r="V31" s="18">
        <v>1</v>
      </c>
      <c r="W31" s="18"/>
      <c r="X31" s="18"/>
      <c r="Y31" s="18">
        <v>1</v>
      </c>
      <c r="Z31" s="18">
        <v>1</v>
      </c>
      <c r="AA31" s="18">
        <v>1</v>
      </c>
      <c r="AB31" s="18">
        <v>1</v>
      </c>
      <c r="AC31" s="18">
        <v>1</v>
      </c>
      <c r="AD31" s="18"/>
      <c r="AE31" s="18"/>
      <c r="AF31" s="18">
        <v>1</v>
      </c>
      <c r="AG31" s="18">
        <v>1</v>
      </c>
      <c r="AH31" s="18">
        <v>1</v>
      </c>
      <c r="AI31" s="18">
        <v>1</v>
      </c>
      <c r="AJ31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69</v>
      </c>
      <c r="AK31" s="29">
        <f ca="1">IF(Август[[#This Row],[УСЛУГ]]&lt;&gt;"",Август[[#This Row],[УСЛУГ]]*Август[[#This Row],[Периодичность]],"")</f>
        <v>2070</v>
      </c>
    </row>
    <row r="32" spans="1:37" x14ac:dyDescent="0.25">
      <c r="A32" s="16"/>
      <c r="B32" s="2"/>
      <c r="C32" s="8">
        <v>30</v>
      </c>
      <c r="D32" s="11">
        <v>2</v>
      </c>
      <c r="E32" s="18">
        <v>1</v>
      </c>
      <c r="F32" s="18">
        <v>1</v>
      </c>
      <c r="G32" s="18">
        <v>1</v>
      </c>
      <c r="H32" s="18">
        <v>1</v>
      </c>
      <c r="I32" s="18"/>
      <c r="J32" s="18"/>
      <c r="K32" s="18">
        <v>1</v>
      </c>
      <c r="L32" s="18">
        <v>1</v>
      </c>
      <c r="M32" s="18">
        <v>1</v>
      </c>
      <c r="N32" s="18">
        <v>1</v>
      </c>
      <c r="O32" s="18">
        <v>1</v>
      </c>
      <c r="P32" s="18"/>
      <c r="Q32" s="18"/>
      <c r="R32" s="18">
        <v>1</v>
      </c>
      <c r="S32" s="18">
        <v>1</v>
      </c>
      <c r="T32" s="18">
        <v>1</v>
      </c>
      <c r="U32" s="18">
        <v>1</v>
      </c>
      <c r="V32" s="18">
        <v>1</v>
      </c>
      <c r="W32" s="18"/>
      <c r="X32" s="18"/>
      <c r="Y32" s="18">
        <v>1</v>
      </c>
      <c r="Z32" s="18">
        <v>1</v>
      </c>
      <c r="AA32" s="18">
        <v>1</v>
      </c>
      <c r="AB32" s="18">
        <v>1</v>
      </c>
      <c r="AC32" s="18">
        <v>1</v>
      </c>
      <c r="AD32" s="18"/>
      <c r="AE32" s="18"/>
      <c r="AF32" s="18">
        <v>1</v>
      </c>
      <c r="AG32" s="18">
        <v>1</v>
      </c>
      <c r="AH32" s="18">
        <v>1</v>
      </c>
      <c r="AI32" s="18">
        <v>1</v>
      </c>
      <c r="AJ32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32" s="29" t="str">
        <f ca="1">IF(Август[[#This Row],[УСЛУГ]]&lt;&gt;"",Август[[#This Row],[УСЛУГ]]*Август[[#This Row],[Периодичность]],"")</f>
        <v/>
      </c>
    </row>
    <row r="33" spans="1:37" x14ac:dyDescent="0.25">
      <c r="A33" s="16"/>
      <c r="B33" s="2"/>
      <c r="C33" s="8">
        <v>30</v>
      </c>
      <c r="D33" s="11">
        <v>3</v>
      </c>
      <c r="E33" s="18">
        <v>1</v>
      </c>
      <c r="F33" s="18">
        <v>1</v>
      </c>
      <c r="G33" s="18">
        <v>1</v>
      </c>
      <c r="H33" s="18">
        <v>1</v>
      </c>
      <c r="I33" s="18"/>
      <c r="J33" s="18"/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8"/>
      <c r="Q33" s="18"/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8"/>
      <c r="X33" s="18"/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8"/>
      <c r="AE33" s="18"/>
      <c r="AF33" s="18">
        <v>1</v>
      </c>
      <c r="AG33" s="18">
        <v>1</v>
      </c>
      <c r="AH33" s="18">
        <v>1</v>
      </c>
      <c r="AI33" s="19">
        <v>1</v>
      </c>
      <c r="AJ33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33" s="29" t="str">
        <f ca="1">IF(Август[[#This Row],[УСЛУГ]]&lt;&gt;"",Август[[#This Row],[УСЛУГ]]*Август[[#This Row],[Периодичность]],"")</f>
        <v/>
      </c>
    </row>
    <row r="34" spans="1:37" ht="47.25" x14ac:dyDescent="0.25">
      <c r="A34" s="16" t="s">
        <v>85</v>
      </c>
      <c r="B34" s="2" t="s">
        <v>58</v>
      </c>
      <c r="C34" s="8">
        <v>3</v>
      </c>
      <c r="D34" s="11">
        <v>1</v>
      </c>
      <c r="E34" s="18">
        <v>1</v>
      </c>
      <c r="F34" s="18">
        <v>1</v>
      </c>
      <c r="G34" s="18">
        <v>1</v>
      </c>
      <c r="H34" s="18">
        <v>1</v>
      </c>
      <c r="I34" s="18"/>
      <c r="J34" s="18"/>
      <c r="K34" s="18">
        <v>1</v>
      </c>
      <c r="L34" s="18">
        <v>1</v>
      </c>
      <c r="M34" s="18">
        <v>1</v>
      </c>
      <c r="N34" s="18">
        <v>1</v>
      </c>
      <c r="O34" s="18">
        <v>1</v>
      </c>
      <c r="P34" s="18"/>
      <c r="Q34" s="18"/>
      <c r="R34" s="18">
        <v>1</v>
      </c>
      <c r="S34" s="18">
        <v>1</v>
      </c>
      <c r="T34" s="18">
        <v>1</v>
      </c>
      <c r="U34" s="18">
        <v>1</v>
      </c>
      <c r="V34" s="18">
        <v>1</v>
      </c>
      <c r="W34" s="18"/>
      <c r="X34" s="18"/>
      <c r="Y34" s="18">
        <v>1</v>
      </c>
      <c r="Z34" s="18">
        <v>1</v>
      </c>
      <c r="AA34" s="18">
        <v>1</v>
      </c>
      <c r="AB34" s="18">
        <v>1</v>
      </c>
      <c r="AC34" s="18">
        <v>1</v>
      </c>
      <c r="AD34" s="18"/>
      <c r="AE34" s="18"/>
      <c r="AF34" s="18">
        <v>1</v>
      </c>
      <c r="AG34" s="18">
        <v>1</v>
      </c>
      <c r="AH34" s="18">
        <v>1</v>
      </c>
      <c r="AI34" s="20">
        <v>1</v>
      </c>
      <c r="AJ34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69</v>
      </c>
      <c r="AK34" s="29">
        <f ca="1">IF(Август[[#This Row],[УСЛУГ]]&lt;&gt;"",Август[[#This Row],[УСЛУГ]]*Август[[#This Row],[Периодичность]],"")</f>
        <v>207</v>
      </c>
    </row>
    <row r="35" spans="1:37" ht="18.75" x14ac:dyDescent="0.25">
      <c r="A35" s="16"/>
      <c r="B35" s="2"/>
      <c r="C35" s="8">
        <v>3</v>
      </c>
      <c r="D35" s="11">
        <v>2</v>
      </c>
      <c r="E35" s="18">
        <v>1</v>
      </c>
      <c r="F35" s="18">
        <v>1</v>
      </c>
      <c r="G35" s="18">
        <v>1</v>
      </c>
      <c r="H35" s="18">
        <v>1</v>
      </c>
      <c r="I35" s="18"/>
      <c r="J35" s="18"/>
      <c r="K35" s="18">
        <v>1</v>
      </c>
      <c r="L35" s="18">
        <v>1</v>
      </c>
      <c r="M35" s="18">
        <v>1</v>
      </c>
      <c r="N35" s="18">
        <v>1</v>
      </c>
      <c r="O35" s="18">
        <v>1</v>
      </c>
      <c r="P35" s="18"/>
      <c r="Q35" s="18"/>
      <c r="R35" s="18">
        <v>1</v>
      </c>
      <c r="S35" s="18">
        <v>1</v>
      </c>
      <c r="T35" s="18">
        <v>1</v>
      </c>
      <c r="U35" s="18">
        <v>1</v>
      </c>
      <c r="V35" s="18">
        <v>1</v>
      </c>
      <c r="W35" s="18"/>
      <c r="X35" s="18"/>
      <c r="Y35" s="18">
        <v>1</v>
      </c>
      <c r="Z35" s="18">
        <v>1</v>
      </c>
      <c r="AA35" s="18">
        <v>1</v>
      </c>
      <c r="AB35" s="18">
        <v>1</v>
      </c>
      <c r="AC35" s="18">
        <v>1</v>
      </c>
      <c r="AD35" s="18"/>
      <c r="AE35" s="18"/>
      <c r="AF35" s="18">
        <v>1</v>
      </c>
      <c r="AG35" s="18">
        <v>1</v>
      </c>
      <c r="AH35" s="18">
        <v>1</v>
      </c>
      <c r="AI35" s="20">
        <v>1</v>
      </c>
      <c r="AJ35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35" s="29" t="str">
        <f ca="1">IF(Август[[#This Row],[УСЛУГ]]&lt;&gt;"",Август[[#This Row],[УСЛУГ]]*Август[[#This Row],[Периодичность]],"")</f>
        <v/>
      </c>
    </row>
    <row r="36" spans="1:37" ht="18.75" x14ac:dyDescent="0.25">
      <c r="A36" s="16"/>
      <c r="B36" s="2"/>
      <c r="C36" s="8">
        <v>3</v>
      </c>
      <c r="D36" s="11">
        <v>3</v>
      </c>
      <c r="E36" s="18">
        <v>1</v>
      </c>
      <c r="F36" s="18">
        <v>1</v>
      </c>
      <c r="G36" s="18">
        <v>1</v>
      </c>
      <c r="H36" s="18">
        <v>1</v>
      </c>
      <c r="I36" s="18"/>
      <c r="J36" s="18"/>
      <c r="K36" s="18">
        <v>1</v>
      </c>
      <c r="L36" s="18">
        <v>1</v>
      </c>
      <c r="M36" s="18">
        <v>1</v>
      </c>
      <c r="N36" s="18">
        <v>1</v>
      </c>
      <c r="O36" s="18">
        <v>1</v>
      </c>
      <c r="P36" s="18"/>
      <c r="Q36" s="18"/>
      <c r="R36" s="18">
        <v>1</v>
      </c>
      <c r="S36" s="18">
        <v>1</v>
      </c>
      <c r="T36" s="18">
        <v>1</v>
      </c>
      <c r="U36" s="18">
        <v>1</v>
      </c>
      <c r="V36" s="18">
        <v>1</v>
      </c>
      <c r="W36" s="18"/>
      <c r="X36" s="18"/>
      <c r="Y36" s="18">
        <v>1</v>
      </c>
      <c r="Z36" s="18">
        <v>1</v>
      </c>
      <c r="AA36" s="18">
        <v>1</v>
      </c>
      <c r="AB36" s="18">
        <v>1</v>
      </c>
      <c r="AC36" s="18">
        <v>1</v>
      </c>
      <c r="AD36" s="18"/>
      <c r="AE36" s="18"/>
      <c r="AF36" s="18">
        <v>1</v>
      </c>
      <c r="AG36" s="18">
        <v>1</v>
      </c>
      <c r="AH36" s="18">
        <v>1</v>
      </c>
      <c r="AI36" s="20">
        <v>1</v>
      </c>
      <c r="AJ36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36" s="29" t="str">
        <f ca="1">IF(Август[[#This Row],[УСЛУГ]]&lt;&gt;"",Август[[#This Row],[УСЛУГ]]*Август[[#This Row],[Периодичность]],"")</f>
        <v/>
      </c>
    </row>
    <row r="37" spans="1:37" ht="18.75" x14ac:dyDescent="0.25">
      <c r="A37" s="16" t="s">
        <v>8</v>
      </c>
      <c r="B37" s="2" t="s">
        <v>59</v>
      </c>
      <c r="C37" s="8">
        <v>15</v>
      </c>
      <c r="D37" s="11">
        <v>1</v>
      </c>
      <c r="E37" s="18">
        <v>1</v>
      </c>
      <c r="F37" s="18">
        <v>1</v>
      </c>
      <c r="G37" s="18">
        <v>1</v>
      </c>
      <c r="H37" s="18">
        <v>1</v>
      </c>
      <c r="I37" s="18"/>
      <c r="J37" s="18"/>
      <c r="K37" s="18">
        <v>1</v>
      </c>
      <c r="L37" s="18">
        <v>1</v>
      </c>
      <c r="M37" s="18">
        <v>1</v>
      </c>
      <c r="N37" s="18">
        <v>1</v>
      </c>
      <c r="O37" s="18">
        <v>1</v>
      </c>
      <c r="P37" s="18"/>
      <c r="Q37" s="18"/>
      <c r="R37" s="18">
        <v>1</v>
      </c>
      <c r="S37" s="18">
        <v>1</v>
      </c>
      <c r="T37" s="18">
        <v>1</v>
      </c>
      <c r="U37" s="18">
        <v>1</v>
      </c>
      <c r="V37" s="18">
        <v>1</v>
      </c>
      <c r="W37" s="18"/>
      <c r="X37" s="18"/>
      <c r="Y37" s="18">
        <v>1</v>
      </c>
      <c r="Z37" s="18">
        <v>1</v>
      </c>
      <c r="AA37" s="18">
        <v>1</v>
      </c>
      <c r="AB37" s="18">
        <v>1</v>
      </c>
      <c r="AC37" s="18">
        <v>1</v>
      </c>
      <c r="AD37" s="18"/>
      <c r="AE37" s="18"/>
      <c r="AF37" s="18">
        <v>1</v>
      </c>
      <c r="AG37" s="18">
        <v>1</v>
      </c>
      <c r="AH37" s="18">
        <v>1</v>
      </c>
      <c r="AI37" s="20">
        <v>1</v>
      </c>
      <c r="AJ37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23</v>
      </c>
      <c r="AK37" s="29">
        <f ca="1">IF(Август[[#This Row],[УСЛУГ]]&lt;&gt;"",Август[[#This Row],[УСЛУГ]]*Август[[#This Row],[Периодичность]],"")</f>
        <v>345</v>
      </c>
    </row>
    <row r="38" spans="1:37" ht="18.75" x14ac:dyDescent="0.25">
      <c r="A38" s="16"/>
      <c r="B38" s="2"/>
      <c r="C38" s="8">
        <v>15</v>
      </c>
      <c r="D38" s="11">
        <v>2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0"/>
      <c r="AJ38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38" s="29" t="str">
        <f ca="1">IF(Август[[#This Row],[УСЛУГ]]&lt;&gt;"",Август[[#This Row],[УСЛУГ]]*Август[[#This Row],[Периодичность]],"")</f>
        <v/>
      </c>
    </row>
    <row r="39" spans="1:37" ht="18.75" x14ac:dyDescent="0.25">
      <c r="A39" s="16"/>
      <c r="B39" s="2"/>
      <c r="C39" s="8">
        <v>15</v>
      </c>
      <c r="D39" s="11">
        <v>3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20"/>
      <c r="AJ39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39" s="29" t="str">
        <f ca="1">IF(Август[[#This Row],[УСЛУГ]]&lt;&gt;"",Август[[#This Row],[УСЛУГ]]*Август[[#This Row],[Периодичность]],"")</f>
        <v/>
      </c>
    </row>
    <row r="40" spans="1:37" ht="47.25" x14ac:dyDescent="0.25">
      <c r="A40" s="16" t="s">
        <v>84</v>
      </c>
      <c r="B40" s="2" t="s">
        <v>61</v>
      </c>
      <c r="C40" s="8">
        <v>49</v>
      </c>
      <c r="D40" s="11">
        <v>1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20"/>
      <c r="AJ40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5</v>
      </c>
      <c r="AK40" s="29">
        <f ca="1">IF(Август[[#This Row],[УСЛУГ]]&lt;&gt;"",Август[[#This Row],[УСЛУГ]]*Август[[#This Row],[Периодичность]],"")</f>
        <v>245</v>
      </c>
    </row>
    <row r="41" spans="1:37" ht="18.75" x14ac:dyDescent="0.25">
      <c r="A41" s="16"/>
      <c r="B41" s="2"/>
      <c r="C41" s="8">
        <v>49</v>
      </c>
      <c r="D41" s="11">
        <v>2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20"/>
      <c r="AJ41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41" s="29" t="str">
        <f ca="1">IF(Август[[#This Row],[УСЛУГ]]&lt;&gt;"",Август[[#This Row],[УСЛУГ]]*Август[[#This Row],[Периодичность]],"")</f>
        <v/>
      </c>
    </row>
    <row r="42" spans="1:37" ht="18.75" x14ac:dyDescent="0.25">
      <c r="A42" s="16"/>
      <c r="B42" s="2"/>
      <c r="C42" s="8">
        <v>49</v>
      </c>
      <c r="D42" s="11">
        <v>3</v>
      </c>
      <c r="E42" s="18"/>
      <c r="F42" s="18"/>
      <c r="G42" s="18">
        <v>1</v>
      </c>
      <c r="H42" s="18"/>
      <c r="I42" s="18"/>
      <c r="J42" s="18"/>
      <c r="K42" s="18"/>
      <c r="L42" s="18"/>
      <c r="M42" s="18"/>
      <c r="N42" s="18">
        <v>1</v>
      </c>
      <c r="O42" s="18"/>
      <c r="P42" s="18"/>
      <c r="Q42" s="18"/>
      <c r="R42" s="18"/>
      <c r="S42" s="18"/>
      <c r="T42" s="18"/>
      <c r="U42" s="18">
        <v>1</v>
      </c>
      <c r="V42" s="18"/>
      <c r="W42" s="18"/>
      <c r="X42" s="18"/>
      <c r="Y42" s="18"/>
      <c r="Z42" s="18"/>
      <c r="AA42" s="18"/>
      <c r="AB42" s="18">
        <v>1</v>
      </c>
      <c r="AC42" s="18"/>
      <c r="AD42" s="18"/>
      <c r="AE42" s="18"/>
      <c r="AF42" s="18"/>
      <c r="AG42" s="18"/>
      <c r="AH42" s="18">
        <v>1</v>
      </c>
      <c r="AI42" s="20"/>
      <c r="AJ42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42" s="29" t="str">
        <f ca="1">IF(Август[[#This Row],[УСЛУГ]]&lt;&gt;"",Август[[#This Row],[УСЛУГ]]*Август[[#This Row],[Периодичность]],"")</f>
        <v/>
      </c>
    </row>
    <row r="43" spans="1:37" ht="31.5" x14ac:dyDescent="0.25">
      <c r="A43" s="16" t="s">
        <v>13</v>
      </c>
      <c r="B43" s="2" t="s">
        <v>59</v>
      </c>
      <c r="C43" s="8">
        <v>12</v>
      </c>
      <c r="D43" s="11">
        <v>1</v>
      </c>
      <c r="E43" s="18"/>
      <c r="F43" s="18">
        <v>1</v>
      </c>
      <c r="G43" s="18"/>
      <c r="H43" s="18">
        <v>1</v>
      </c>
      <c r="I43" s="18"/>
      <c r="J43" s="18"/>
      <c r="K43" s="18">
        <v>1</v>
      </c>
      <c r="L43" s="18"/>
      <c r="M43" s="18">
        <v>1</v>
      </c>
      <c r="N43" s="18"/>
      <c r="O43" s="18">
        <v>1</v>
      </c>
      <c r="P43" s="18"/>
      <c r="Q43" s="18"/>
      <c r="R43" s="18">
        <v>1</v>
      </c>
      <c r="S43" s="18"/>
      <c r="T43" s="18">
        <v>1</v>
      </c>
      <c r="U43" s="18"/>
      <c r="V43" s="18">
        <v>1</v>
      </c>
      <c r="W43" s="18"/>
      <c r="X43" s="18"/>
      <c r="Y43" s="18">
        <v>1</v>
      </c>
      <c r="Z43" s="18"/>
      <c r="AA43" s="18">
        <v>1</v>
      </c>
      <c r="AB43" s="18"/>
      <c r="AC43" s="18">
        <v>1</v>
      </c>
      <c r="AD43" s="18"/>
      <c r="AE43" s="18"/>
      <c r="AF43" s="18">
        <v>1</v>
      </c>
      <c r="AG43" s="18"/>
      <c r="AH43" s="18">
        <v>1</v>
      </c>
      <c r="AI43" s="18"/>
      <c r="AJ43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13</v>
      </c>
      <c r="AK43" s="29">
        <f ca="1">IF(Август[[#This Row],[УСЛУГ]]&lt;&gt;"",Август[[#This Row],[УСЛУГ]]*Август[[#This Row],[Периодичность]],"")</f>
        <v>156</v>
      </c>
    </row>
    <row r="44" spans="1:37" ht="18.75" x14ac:dyDescent="0.25">
      <c r="A44" s="16"/>
      <c r="B44" s="2"/>
      <c r="C44" s="8">
        <v>12</v>
      </c>
      <c r="D44" s="11">
        <v>2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20"/>
      <c r="AJ44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44" s="29" t="str">
        <f ca="1">IF(Август[[#This Row],[УСЛУГ]]&lt;&gt;"",Август[[#This Row],[УСЛУГ]]*Август[[#This Row],[Периодичность]],"")</f>
        <v/>
      </c>
    </row>
    <row r="45" spans="1:37" x14ac:dyDescent="0.25">
      <c r="A45" s="16"/>
      <c r="B45" s="2"/>
      <c r="C45" s="8">
        <v>12</v>
      </c>
      <c r="D45" s="11">
        <v>3</v>
      </c>
      <c r="E45" s="18"/>
      <c r="F45" s="18"/>
      <c r="G45" s="18"/>
      <c r="H45" s="18"/>
      <c r="I45" s="18"/>
      <c r="J45" s="18"/>
      <c r="K45" s="10"/>
      <c r="L45" s="10"/>
      <c r="M45" s="10"/>
      <c r="N45" s="10"/>
      <c r="O45" s="10"/>
      <c r="P45" s="18"/>
      <c r="Q45" s="18"/>
      <c r="R45" s="10"/>
      <c r="S45" s="10"/>
      <c r="T45" s="10"/>
      <c r="U45" s="10"/>
      <c r="V45" s="10"/>
      <c r="W45" s="18"/>
      <c r="X45" s="18"/>
      <c r="Y45" s="10"/>
      <c r="Z45" s="10"/>
      <c r="AA45" s="10"/>
      <c r="AB45" s="10"/>
      <c r="AC45" s="10"/>
      <c r="AD45" s="18"/>
      <c r="AE45" s="18"/>
      <c r="AF45" s="18"/>
      <c r="AG45" s="18"/>
      <c r="AH45" s="18"/>
      <c r="AI45" s="19"/>
      <c r="AJ45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45" s="29" t="str">
        <f ca="1">IF(Август[[#This Row],[УСЛУГ]]&lt;&gt;"",Август[[#This Row],[УСЛУГ]]*Август[[#This Row],[Периодичность]],"")</f>
        <v/>
      </c>
    </row>
    <row r="46" spans="1:37" ht="18.75" x14ac:dyDescent="0.25">
      <c r="A46" s="16" t="s">
        <v>16</v>
      </c>
      <c r="B46" s="2" t="s">
        <v>59</v>
      </c>
      <c r="C46" s="8">
        <v>15</v>
      </c>
      <c r="D46" s="11">
        <v>1</v>
      </c>
      <c r="E46" s="18">
        <v>1</v>
      </c>
      <c r="F46" s="18">
        <v>1</v>
      </c>
      <c r="G46" s="18">
        <v>1</v>
      </c>
      <c r="H46" s="18">
        <v>1</v>
      </c>
      <c r="I46" s="18"/>
      <c r="J46" s="18"/>
      <c r="K46" s="18">
        <v>1</v>
      </c>
      <c r="L46" s="18">
        <v>1</v>
      </c>
      <c r="M46" s="18">
        <v>1</v>
      </c>
      <c r="N46" s="18">
        <v>1</v>
      </c>
      <c r="O46" s="18">
        <v>1</v>
      </c>
      <c r="P46" s="18"/>
      <c r="Q46" s="18"/>
      <c r="R46" s="18">
        <v>1</v>
      </c>
      <c r="S46" s="18">
        <v>1</v>
      </c>
      <c r="T46" s="18">
        <v>1</v>
      </c>
      <c r="U46" s="18">
        <v>1</v>
      </c>
      <c r="V46" s="18">
        <v>1</v>
      </c>
      <c r="W46" s="18"/>
      <c r="X46" s="18"/>
      <c r="Y46" s="18">
        <v>1</v>
      </c>
      <c r="Z46" s="18">
        <v>1</v>
      </c>
      <c r="AA46" s="18">
        <v>1</v>
      </c>
      <c r="AB46" s="18">
        <v>1</v>
      </c>
      <c r="AC46" s="18">
        <v>1</v>
      </c>
      <c r="AD46" s="18"/>
      <c r="AE46" s="18"/>
      <c r="AF46" s="18">
        <v>1</v>
      </c>
      <c r="AG46" s="18">
        <v>1</v>
      </c>
      <c r="AH46" s="18">
        <v>1</v>
      </c>
      <c r="AI46" s="20">
        <v>1</v>
      </c>
      <c r="AJ46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23</v>
      </c>
      <c r="AK46" s="29">
        <f ca="1">IF(Август[[#This Row],[УСЛУГ]]&lt;&gt;"",Август[[#This Row],[УСЛУГ]]*Август[[#This Row],[Периодичность]],"")</f>
        <v>345</v>
      </c>
    </row>
    <row r="47" spans="1:37" ht="18.75" x14ac:dyDescent="0.25">
      <c r="A47" s="16"/>
      <c r="B47" s="2"/>
      <c r="C47" s="8">
        <v>15</v>
      </c>
      <c r="D47" s="11">
        <v>2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20"/>
      <c r="AJ47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47" s="29" t="str">
        <f ca="1">IF(Август[[#This Row],[УСЛУГ]]&lt;&gt;"",Август[[#This Row],[УСЛУГ]]*Август[[#This Row],[Периодичность]],"")</f>
        <v/>
      </c>
    </row>
    <row r="48" spans="1:37" ht="18.75" x14ac:dyDescent="0.25">
      <c r="A48" s="16"/>
      <c r="B48" s="2"/>
      <c r="C48" s="8">
        <v>15</v>
      </c>
      <c r="D48" s="11">
        <v>3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20"/>
      <c r="AJ48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48" s="29" t="str">
        <f ca="1">IF(Август[[#This Row],[УСЛУГ]]&lt;&gt;"",Август[[#This Row],[УСЛУГ]]*Август[[#This Row],[Периодичность]],"")</f>
        <v/>
      </c>
    </row>
    <row r="49" spans="1:37" ht="31.5" x14ac:dyDescent="0.25">
      <c r="A49" s="16" t="s">
        <v>25</v>
      </c>
      <c r="B49" s="2" t="s">
        <v>59</v>
      </c>
      <c r="C49" s="8">
        <v>10</v>
      </c>
      <c r="D49" s="11">
        <v>1</v>
      </c>
      <c r="E49" s="18">
        <v>1</v>
      </c>
      <c r="F49" s="18">
        <v>1</v>
      </c>
      <c r="G49" s="18">
        <v>1</v>
      </c>
      <c r="H49" s="18">
        <v>1</v>
      </c>
      <c r="I49" s="18"/>
      <c r="J49" s="18"/>
      <c r="K49" s="18">
        <v>1</v>
      </c>
      <c r="L49" s="18">
        <v>1</v>
      </c>
      <c r="M49" s="18">
        <v>1</v>
      </c>
      <c r="N49" s="18">
        <v>1</v>
      </c>
      <c r="O49" s="18">
        <v>1</v>
      </c>
      <c r="P49" s="18"/>
      <c r="Q49" s="18"/>
      <c r="R49" s="18">
        <v>1</v>
      </c>
      <c r="S49" s="18">
        <v>1</v>
      </c>
      <c r="T49" s="18">
        <v>1</v>
      </c>
      <c r="U49" s="18">
        <v>1</v>
      </c>
      <c r="V49" s="18">
        <v>1</v>
      </c>
      <c r="W49" s="18"/>
      <c r="X49" s="18"/>
      <c r="Y49" s="18">
        <v>1</v>
      </c>
      <c r="Z49" s="18">
        <v>1</v>
      </c>
      <c r="AA49" s="18">
        <v>1</v>
      </c>
      <c r="AB49" s="18">
        <v>1</v>
      </c>
      <c r="AC49" s="18">
        <v>1</v>
      </c>
      <c r="AD49" s="18"/>
      <c r="AE49" s="18"/>
      <c r="AF49" s="18">
        <v>1</v>
      </c>
      <c r="AG49" s="18">
        <v>1</v>
      </c>
      <c r="AH49" s="18">
        <v>1</v>
      </c>
      <c r="AI49" s="18">
        <v>1</v>
      </c>
      <c r="AJ49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23</v>
      </c>
      <c r="AK49" s="29">
        <f ca="1">IF(Август[[#This Row],[УСЛУГ]]&lt;&gt;"",Август[[#This Row],[УСЛУГ]]*Август[[#This Row],[Периодичность]],"")</f>
        <v>230</v>
      </c>
    </row>
    <row r="50" spans="1:37" x14ac:dyDescent="0.25">
      <c r="A50" s="16"/>
      <c r="B50" s="2"/>
      <c r="C50" s="8">
        <v>10</v>
      </c>
      <c r="D50" s="11">
        <v>2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50" s="29" t="str">
        <f ca="1">IF(Август[[#This Row],[УСЛУГ]]&lt;&gt;"",Август[[#This Row],[УСЛУГ]]*Август[[#This Row],[Периодичность]],"")</f>
        <v/>
      </c>
    </row>
    <row r="51" spans="1:37" ht="18.75" x14ac:dyDescent="0.25">
      <c r="A51" s="16"/>
      <c r="B51" s="2"/>
      <c r="C51" s="8">
        <v>10</v>
      </c>
      <c r="D51" s="11">
        <v>3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20"/>
      <c r="AJ51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51" s="29" t="str">
        <f ca="1">IF(Август[[#This Row],[УСЛУГ]]&lt;&gt;"",Август[[#This Row],[УСЛУГ]]*Август[[#This Row],[Периодичность]],"")</f>
        <v/>
      </c>
    </row>
    <row r="52" spans="1:37" ht="31.5" x14ac:dyDescent="0.25">
      <c r="A52" s="16" t="s">
        <v>27</v>
      </c>
      <c r="B52" s="2" t="s">
        <v>59</v>
      </c>
      <c r="C52" s="8">
        <v>15</v>
      </c>
      <c r="D52" s="11">
        <v>1</v>
      </c>
      <c r="E52" s="18">
        <v>1</v>
      </c>
      <c r="F52" s="18">
        <v>1</v>
      </c>
      <c r="G52" s="18">
        <v>1</v>
      </c>
      <c r="H52" s="18">
        <v>1</v>
      </c>
      <c r="I52" s="18"/>
      <c r="J52" s="18"/>
      <c r="K52" s="18">
        <v>1</v>
      </c>
      <c r="L52" s="18">
        <v>1</v>
      </c>
      <c r="M52" s="18">
        <v>1</v>
      </c>
      <c r="N52" s="18">
        <v>1</v>
      </c>
      <c r="O52" s="18">
        <v>1</v>
      </c>
      <c r="P52" s="18"/>
      <c r="Q52" s="18"/>
      <c r="R52" s="18">
        <v>1</v>
      </c>
      <c r="S52" s="18">
        <v>1</v>
      </c>
      <c r="T52" s="18">
        <v>1</v>
      </c>
      <c r="U52" s="18">
        <v>1</v>
      </c>
      <c r="V52" s="18">
        <v>1</v>
      </c>
      <c r="W52" s="18"/>
      <c r="X52" s="18"/>
      <c r="Y52" s="18">
        <v>1</v>
      </c>
      <c r="Z52" s="18">
        <v>1</v>
      </c>
      <c r="AA52" s="18">
        <v>1</v>
      </c>
      <c r="AB52" s="18">
        <v>1</v>
      </c>
      <c r="AC52" s="18">
        <v>1</v>
      </c>
      <c r="AD52" s="18"/>
      <c r="AE52" s="18"/>
      <c r="AF52" s="18">
        <v>1</v>
      </c>
      <c r="AG52" s="18">
        <v>1</v>
      </c>
      <c r="AH52" s="18">
        <v>1</v>
      </c>
      <c r="AI52" s="20">
        <v>1</v>
      </c>
      <c r="AJ52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23</v>
      </c>
      <c r="AK52" s="29">
        <f ca="1">IF(Август[[#This Row],[УСЛУГ]]&lt;&gt;"",Август[[#This Row],[УСЛУГ]]*Август[[#This Row],[Периодичность]],"")</f>
        <v>345</v>
      </c>
    </row>
    <row r="53" spans="1:37" ht="18.75" x14ac:dyDescent="0.25">
      <c r="A53" s="16"/>
      <c r="B53" s="2"/>
      <c r="C53" s="8">
        <v>15</v>
      </c>
      <c r="D53" s="11">
        <v>2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20"/>
      <c r="AJ53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53" s="29" t="str">
        <f ca="1">IF(Август[[#This Row],[УСЛУГ]]&lt;&gt;"",Август[[#This Row],[УСЛУГ]]*Август[[#This Row],[Периодичность]],"")</f>
        <v/>
      </c>
    </row>
    <row r="54" spans="1:37" ht="18.75" x14ac:dyDescent="0.25">
      <c r="A54" s="16"/>
      <c r="B54" s="2"/>
      <c r="C54" s="8">
        <v>15</v>
      </c>
      <c r="D54" s="11">
        <v>3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20"/>
      <c r="AJ54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54" s="29" t="str">
        <f ca="1">IF(Август[[#This Row],[УСЛУГ]]&lt;&gt;"",Август[[#This Row],[УСЛУГ]]*Август[[#This Row],[Периодичность]],"")</f>
        <v/>
      </c>
    </row>
    <row r="55" spans="1:37" ht="31.5" x14ac:dyDescent="0.25">
      <c r="A55" s="16" t="s">
        <v>29</v>
      </c>
      <c r="B55" s="2" t="s">
        <v>61</v>
      </c>
      <c r="C55" s="8">
        <v>15</v>
      </c>
      <c r="D55" s="11">
        <v>1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20"/>
      <c r="AJ55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5</v>
      </c>
      <c r="AK55" s="29">
        <f ca="1">IF(Август[[#This Row],[УСЛУГ]]&lt;&gt;"",Август[[#This Row],[УСЛУГ]]*Август[[#This Row],[Периодичность]],"")</f>
        <v>75</v>
      </c>
    </row>
    <row r="56" spans="1:37" ht="18.75" x14ac:dyDescent="0.25">
      <c r="A56" s="16"/>
      <c r="B56" s="2"/>
      <c r="C56" s="8">
        <v>15</v>
      </c>
      <c r="D56" s="11">
        <v>2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20"/>
      <c r="AJ56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56" s="29" t="str">
        <f ca="1">IF(Август[[#This Row],[УСЛУГ]]&lt;&gt;"",Август[[#This Row],[УСЛУГ]]*Август[[#This Row],[Периодичность]],"")</f>
        <v/>
      </c>
    </row>
    <row r="57" spans="1:37" ht="18.75" x14ac:dyDescent="0.25">
      <c r="A57" s="16"/>
      <c r="B57" s="2"/>
      <c r="C57" s="8">
        <v>15</v>
      </c>
      <c r="D57" s="11">
        <v>3</v>
      </c>
      <c r="E57" s="18"/>
      <c r="F57" s="18"/>
      <c r="G57" s="18">
        <v>1</v>
      </c>
      <c r="H57" s="18"/>
      <c r="I57" s="18"/>
      <c r="J57" s="18"/>
      <c r="K57" s="18"/>
      <c r="L57" s="18"/>
      <c r="M57" s="18"/>
      <c r="N57" s="18">
        <v>1</v>
      </c>
      <c r="O57" s="18"/>
      <c r="P57" s="18"/>
      <c r="Q57" s="18"/>
      <c r="R57" s="18"/>
      <c r="S57" s="18"/>
      <c r="T57" s="18"/>
      <c r="U57" s="18">
        <v>1</v>
      </c>
      <c r="V57" s="18"/>
      <c r="W57" s="18"/>
      <c r="X57" s="18"/>
      <c r="Y57" s="18"/>
      <c r="Z57" s="18"/>
      <c r="AA57" s="18"/>
      <c r="AB57" s="18">
        <v>1</v>
      </c>
      <c r="AC57" s="18"/>
      <c r="AD57" s="18"/>
      <c r="AE57" s="18"/>
      <c r="AF57" s="18"/>
      <c r="AG57" s="18"/>
      <c r="AH57" s="18"/>
      <c r="AI57" s="20">
        <v>1</v>
      </c>
      <c r="AJ57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57" s="29" t="str">
        <f ca="1">IF(Август[[#This Row],[УСЛУГ]]&lt;&gt;"",Август[[#This Row],[УСЛУГ]]*Август[[#This Row],[Периодичность]],"")</f>
        <v/>
      </c>
    </row>
    <row r="58" spans="1:37" ht="47.25" x14ac:dyDescent="0.25">
      <c r="A58" s="16" t="s">
        <v>83</v>
      </c>
      <c r="B58" s="2" t="s">
        <v>58</v>
      </c>
      <c r="C58" s="8">
        <v>10</v>
      </c>
      <c r="D58" s="11">
        <v>1</v>
      </c>
      <c r="E58" s="18">
        <v>1</v>
      </c>
      <c r="F58" s="18">
        <v>1</v>
      </c>
      <c r="G58" s="18">
        <v>1</v>
      </c>
      <c r="H58" s="18">
        <v>1</v>
      </c>
      <c r="I58" s="18"/>
      <c r="J58" s="18"/>
      <c r="K58" s="18">
        <v>1</v>
      </c>
      <c r="L58" s="18">
        <v>1</v>
      </c>
      <c r="M58" s="18">
        <v>1</v>
      </c>
      <c r="N58" s="18">
        <v>1</v>
      </c>
      <c r="O58" s="18">
        <v>1</v>
      </c>
      <c r="P58" s="18"/>
      <c r="Q58" s="18"/>
      <c r="R58" s="18">
        <v>1</v>
      </c>
      <c r="S58" s="18">
        <v>1</v>
      </c>
      <c r="T58" s="18">
        <v>1</v>
      </c>
      <c r="U58" s="18">
        <v>1</v>
      </c>
      <c r="V58" s="18">
        <v>1</v>
      </c>
      <c r="W58" s="18"/>
      <c r="X58" s="18"/>
      <c r="Y58" s="18">
        <v>1</v>
      </c>
      <c r="Z58" s="18">
        <v>1</v>
      </c>
      <c r="AA58" s="18">
        <v>1</v>
      </c>
      <c r="AB58" s="18">
        <v>1</v>
      </c>
      <c r="AC58" s="18">
        <v>1</v>
      </c>
      <c r="AD58" s="18"/>
      <c r="AE58" s="18"/>
      <c r="AF58" s="18">
        <v>1</v>
      </c>
      <c r="AG58" s="18">
        <v>1</v>
      </c>
      <c r="AH58" s="18">
        <v>1</v>
      </c>
      <c r="AI58" s="20">
        <v>1</v>
      </c>
      <c r="AJ58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69</v>
      </c>
      <c r="AK58" s="29">
        <f ca="1">IF(Август[[#This Row],[УСЛУГ]]&lt;&gt;"",Август[[#This Row],[УСЛУГ]]*Август[[#This Row],[Периодичность]],"")</f>
        <v>690</v>
      </c>
    </row>
    <row r="59" spans="1:37" ht="18.75" x14ac:dyDescent="0.25">
      <c r="A59" s="16"/>
      <c r="B59" s="2"/>
      <c r="C59" s="8">
        <v>10</v>
      </c>
      <c r="D59" s="11">
        <v>2</v>
      </c>
      <c r="E59" s="18">
        <v>1</v>
      </c>
      <c r="F59" s="18">
        <v>1</v>
      </c>
      <c r="G59" s="18">
        <v>1</v>
      </c>
      <c r="H59" s="18">
        <v>1</v>
      </c>
      <c r="I59" s="18"/>
      <c r="J59" s="18"/>
      <c r="K59" s="18">
        <v>1</v>
      </c>
      <c r="L59" s="18">
        <v>1</v>
      </c>
      <c r="M59" s="18">
        <v>1</v>
      </c>
      <c r="N59" s="18">
        <v>1</v>
      </c>
      <c r="O59" s="18">
        <v>1</v>
      </c>
      <c r="P59" s="18"/>
      <c r="Q59" s="18"/>
      <c r="R59" s="18">
        <v>1</v>
      </c>
      <c r="S59" s="18">
        <v>1</v>
      </c>
      <c r="T59" s="18">
        <v>1</v>
      </c>
      <c r="U59" s="18">
        <v>1</v>
      </c>
      <c r="V59" s="18">
        <v>1</v>
      </c>
      <c r="W59" s="18"/>
      <c r="X59" s="18"/>
      <c r="Y59" s="18">
        <v>1</v>
      </c>
      <c r="Z59" s="18">
        <v>1</v>
      </c>
      <c r="AA59" s="18">
        <v>1</v>
      </c>
      <c r="AB59" s="18">
        <v>1</v>
      </c>
      <c r="AC59" s="18">
        <v>1</v>
      </c>
      <c r="AD59" s="18"/>
      <c r="AE59" s="18"/>
      <c r="AF59" s="18">
        <v>1</v>
      </c>
      <c r="AG59" s="18">
        <v>1</v>
      </c>
      <c r="AH59" s="18">
        <v>1</v>
      </c>
      <c r="AI59" s="20">
        <v>1</v>
      </c>
      <c r="AJ59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59" s="29" t="str">
        <f ca="1">IF(Август[[#This Row],[УСЛУГ]]&lt;&gt;"",Август[[#This Row],[УСЛУГ]]*Август[[#This Row],[Периодичность]],"")</f>
        <v/>
      </c>
    </row>
    <row r="60" spans="1:37" ht="18.75" x14ac:dyDescent="0.25">
      <c r="A60" s="16"/>
      <c r="B60" s="2"/>
      <c r="C60" s="8">
        <v>10</v>
      </c>
      <c r="D60" s="11">
        <v>3</v>
      </c>
      <c r="E60" s="18">
        <v>1</v>
      </c>
      <c r="F60" s="18">
        <v>1</v>
      </c>
      <c r="G60" s="18">
        <v>1</v>
      </c>
      <c r="H60" s="18">
        <v>1</v>
      </c>
      <c r="I60" s="18"/>
      <c r="J60" s="18"/>
      <c r="K60" s="18">
        <v>1</v>
      </c>
      <c r="L60" s="18">
        <v>1</v>
      </c>
      <c r="M60" s="18">
        <v>1</v>
      </c>
      <c r="N60" s="18">
        <v>1</v>
      </c>
      <c r="O60" s="18">
        <v>1</v>
      </c>
      <c r="P60" s="18"/>
      <c r="Q60" s="18"/>
      <c r="R60" s="18">
        <v>1</v>
      </c>
      <c r="S60" s="18">
        <v>1</v>
      </c>
      <c r="T60" s="18">
        <v>1</v>
      </c>
      <c r="U60" s="18">
        <v>1</v>
      </c>
      <c r="V60" s="18">
        <v>1</v>
      </c>
      <c r="W60" s="18"/>
      <c r="X60" s="18"/>
      <c r="Y60" s="18">
        <v>1</v>
      </c>
      <c r="Z60" s="18">
        <v>1</v>
      </c>
      <c r="AA60" s="18">
        <v>1</v>
      </c>
      <c r="AB60" s="18">
        <v>1</v>
      </c>
      <c r="AC60" s="18">
        <v>1</v>
      </c>
      <c r="AD60" s="18"/>
      <c r="AE60" s="18"/>
      <c r="AF60" s="18">
        <v>1</v>
      </c>
      <c r="AG60" s="18">
        <v>1</v>
      </c>
      <c r="AH60" s="18">
        <v>1</v>
      </c>
      <c r="AI60" s="20">
        <v>1</v>
      </c>
      <c r="AJ60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60" s="29" t="str">
        <f ca="1">IF(Август[[#This Row],[УСЛУГ]]&lt;&gt;"",Август[[#This Row],[УСЛУГ]]*Август[[#This Row],[Периодичность]],"")</f>
        <v/>
      </c>
    </row>
    <row r="61" spans="1:37" ht="47.25" x14ac:dyDescent="0.25">
      <c r="A61" s="16" t="s">
        <v>82</v>
      </c>
      <c r="B61" s="2" t="s">
        <v>59</v>
      </c>
      <c r="C61" s="8">
        <v>10</v>
      </c>
      <c r="D61" s="11">
        <v>1</v>
      </c>
      <c r="E61" s="18">
        <v>1</v>
      </c>
      <c r="F61" s="18">
        <v>1</v>
      </c>
      <c r="G61" s="18">
        <v>1</v>
      </c>
      <c r="H61" s="18">
        <v>1</v>
      </c>
      <c r="I61" s="18"/>
      <c r="J61" s="18"/>
      <c r="K61" s="18">
        <v>1</v>
      </c>
      <c r="L61" s="18">
        <v>1</v>
      </c>
      <c r="M61" s="18">
        <v>1</v>
      </c>
      <c r="N61" s="18">
        <v>1</v>
      </c>
      <c r="O61" s="18">
        <v>1</v>
      </c>
      <c r="P61" s="18"/>
      <c r="Q61" s="18"/>
      <c r="R61" s="18">
        <v>1</v>
      </c>
      <c r="S61" s="18">
        <v>1</v>
      </c>
      <c r="T61" s="18">
        <v>1</v>
      </c>
      <c r="U61" s="18">
        <v>1</v>
      </c>
      <c r="V61" s="18">
        <v>1</v>
      </c>
      <c r="W61" s="18"/>
      <c r="X61" s="18"/>
      <c r="Y61" s="18">
        <v>1</v>
      </c>
      <c r="Z61" s="18">
        <v>1</v>
      </c>
      <c r="AA61" s="18">
        <v>1</v>
      </c>
      <c r="AB61" s="18">
        <v>1</v>
      </c>
      <c r="AC61" s="18">
        <v>1</v>
      </c>
      <c r="AD61" s="18"/>
      <c r="AE61" s="18"/>
      <c r="AF61" s="18">
        <v>1</v>
      </c>
      <c r="AG61" s="18">
        <v>1</v>
      </c>
      <c r="AH61" s="18">
        <v>1</v>
      </c>
      <c r="AI61" s="20">
        <v>1</v>
      </c>
      <c r="AJ61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23</v>
      </c>
      <c r="AK61" s="29">
        <f ca="1">IF(Август[[#This Row],[УСЛУГ]]&lt;&gt;"",Август[[#This Row],[УСЛУГ]]*Август[[#This Row],[Периодичность]],"")</f>
        <v>230</v>
      </c>
    </row>
    <row r="62" spans="1:37" ht="18.75" x14ac:dyDescent="0.25">
      <c r="A62" s="16"/>
      <c r="B62" s="2"/>
      <c r="C62" s="8">
        <v>10</v>
      </c>
      <c r="D62" s="11">
        <v>2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20"/>
      <c r="AJ62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62" s="29" t="str">
        <f ca="1">IF(Август[[#This Row],[УСЛУГ]]&lt;&gt;"",Август[[#This Row],[УСЛУГ]]*Август[[#This Row],[Периодичность]],"")</f>
        <v/>
      </c>
    </row>
    <row r="63" spans="1:37" ht="18.75" x14ac:dyDescent="0.25">
      <c r="A63" s="16"/>
      <c r="B63" s="2"/>
      <c r="C63" s="8">
        <v>10</v>
      </c>
      <c r="D63" s="11">
        <v>3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20"/>
      <c r="AJ63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63" s="29" t="str">
        <f ca="1">IF(Август[[#This Row],[УСЛУГ]]&lt;&gt;"",Август[[#This Row],[УСЛУГ]]*Август[[#This Row],[Периодичность]],"")</f>
        <v/>
      </c>
    </row>
    <row r="64" spans="1:37" ht="31.5" x14ac:dyDescent="0.25">
      <c r="A64" s="16" t="s">
        <v>37</v>
      </c>
      <c r="B64" s="2" t="s">
        <v>60</v>
      </c>
      <c r="C64" s="8">
        <v>5</v>
      </c>
      <c r="D64" s="11">
        <v>1</v>
      </c>
      <c r="E64" s="18">
        <v>1</v>
      </c>
      <c r="F64" s="18">
        <v>1</v>
      </c>
      <c r="G64" s="18">
        <v>1</v>
      </c>
      <c r="H64" s="18">
        <v>1</v>
      </c>
      <c r="I64" s="18"/>
      <c r="J64" s="18"/>
      <c r="K64" s="18">
        <v>1</v>
      </c>
      <c r="L64" s="18">
        <v>1</v>
      </c>
      <c r="M64" s="18">
        <v>1</v>
      </c>
      <c r="N64" s="18">
        <v>1</v>
      </c>
      <c r="O64" s="18">
        <v>1</v>
      </c>
      <c r="P64" s="18"/>
      <c r="Q64" s="18"/>
      <c r="R64" s="18">
        <v>1</v>
      </c>
      <c r="S64" s="18">
        <v>1</v>
      </c>
      <c r="T64" s="18">
        <v>1</v>
      </c>
      <c r="U64" s="18">
        <v>1</v>
      </c>
      <c r="V64" s="18">
        <v>1</v>
      </c>
      <c r="W64" s="18"/>
      <c r="X64" s="18"/>
      <c r="Y64" s="18">
        <v>1</v>
      </c>
      <c r="Z64" s="18">
        <v>1</v>
      </c>
      <c r="AA64" s="18">
        <v>1</v>
      </c>
      <c r="AB64" s="18">
        <v>1</v>
      </c>
      <c r="AC64" s="18">
        <v>1</v>
      </c>
      <c r="AD64" s="18"/>
      <c r="AE64" s="18"/>
      <c r="AF64" s="18">
        <v>1</v>
      </c>
      <c r="AG64" s="18">
        <v>1</v>
      </c>
      <c r="AH64" s="18">
        <v>1</v>
      </c>
      <c r="AI64" s="18">
        <v>1</v>
      </c>
      <c r="AJ64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46</v>
      </c>
      <c r="AK64" s="29">
        <f ca="1">IF(Август[[#This Row],[УСЛУГ]]&lt;&gt;"",Август[[#This Row],[УСЛУГ]]*Август[[#This Row],[Периодичность]],"")</f>
        <v>230</v>
      </c>
    </row>
    <row r="65" spans="1:37" ht="18.75" x14ac:dyDescent="0.25">
      <c r="A65" s="16"/>
      <c r="B65" s="2"/>
      <c r="C65" s="8">
        <v>5</v>
      </c>
      <c r="D65" s="11">
        <v>2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20"/>
      <c r="AJ65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65" s="29" t="str">
        <f ca="1">IF(Август[[#This Row],[УСЛУГ]]&lt;&gt;"",Август[[#This Row],[УСЛУГ]]*Август[[#This Row],[Периодичность]],"")</f>
        <v/>
      </c>
    </row>
    <row r="66" spans="1:37" x14ac:dyDescent="0.25">
      <c r="A66" s="16"/>
      <c r="B66" s="2"/>
      <c r="C66" s="8">
        <v>5</v>
      </c>
      <c r="D66" s="11">
        <v>3</v>
      </c>
      <c r="E66" s="18">
        <v>1</v>
      </c>
      <c r="F66" s="18">
        <v>1</v>
      </c>
      <c r="G66" s="18">
        <v>1</v>
      </c>
      <c r="H66" s="18">
        <v>1</v>
      </c>
      <c r="I66" s="18"/>
      <c r="J66" s="18"/>
      <c r="K66" s="10">
        <v>1</v>
      </c>
      <c r="L66" s="10">
        <v>1</v>
      </c>
      <c r="M66" s="10">
        <v>1</v>
      </c>
      <c r="N66" s="10">
        <v>1</v>
      </c>
      <c r="O66" s="10">
        <v>1</v>
      </c>
      <c r="P66" s="18"/>
      <c r="Q66" s="18"/>
      <c r="R66" s="10">
        <v>1</v>
      </c>
      <c r="S66" s="10">
        <v>1</v>
      </c>
      <c r="T66" s="10">
        <v>1</v>
      </c>
      <c r="U66" s="10">
        <v>1</v>
      </c>
      <c r="V66" s="10">
        <v>1</v>
      </c>
      <c r="W66" s="18"/>
      <c r="X66" s="18"/>
      <c r="Y66" s="10">
        <v>1</v>
      </c>
      <c r="Z66" s="10">
        <v>1</v>
      </c>
      <c r="AA66" s="10">
        <v>1</v>
      </c>
      <c r="AB66" s="10">
        <v>1</v>
      </c>
      <c r="AC66" s="10">
        <v>1</v>
      </c>
      <c r="AD66" s="18"/>
      <c r="AE66" s="18"/>
      <c r="AF66" s="18">
        <v>1</v>
      </c>
      <c r="AG66" s="18">
        <v>1</v>
      </c>
      <c r="AH66" s="18">
        <v>1</v>
      </c>
      <c r="AI66" s="19">
        <v>1</v>
      </c>
      <c r="AJ66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66" s="29" t="str">
        <f ca="1">IF(Август[[#This Row],[УСЛУГ]]&lt;&gt;"",Август[[#This Row],[УСЛУГ]]*Август[[#This Row],[Периодичность]],"")</f>
        <v/>
      </c>
    </row>
    <row r="67" spans="1:37" ht="18.75" x14ac:dyDescent="0.25">
      <c r="A67" s="16" t="s">
        <v>38</v>
      </c>
      <c r="B67" s="2" t="s">
        <v>59</v>
      </c>
      <c r="C67" s="8">
        <v>7</v>
      </c>
      <c r="D67" s="11">
        <v>1</v>
      </c>
      <c r="E67" s="18">
        <v>1</v>
      </c>
      <c r="F67" s="18">
        <v>1</v>
      </c>
      <c r="G67" s="18">
        <v>1</v>
      </c>
      <c r="H67" s="18">
        <v>1</v>
      </c>
      <c r="I67" s="18"/>
      <c r="J67" s="18"/>
      <c r="K67" s="18">
        <v>1</v>
      </c>
      <c r="L67" s="18">
        <v>1</v>
      </c>
      <c r="M67" s="18">
        <v>1</v>
      </c>
      <c r="N67" s="18">
        <v>1</v>
      </c>
      <c r="O67" s="18">
        <v>1</v>
      </c>
      <c r="P67" s="18"/>
      <c r="Q67" s="18"/>
      <c r="R67" s="18">
        <v>1</v>
      </c>
      <c r="S67" s="18">
        <v>1</v>
      </c>
      <c r="T67" s="18">
        <v>1</v>
      </c>
      <c r="U67" s="18">
        <v>1</v>
      </c>
      <c r="V67" s="18">
        <v>1</v>
      </c>
      <c r="W67" s="18"/>
      <c r="X67" s="18"/>
      <c r="Y67" s="18">
        <v>1</v>
      </c>
      <c r="Z67" s="18">
        <v>1</v>
      </c>
      <c r="AA67" s="18">
        <v>1</v>
      </c>
      <c r="AB67" s="18">
        <v>1</v>
      </c>
      <c r="AC67" s="18">
        <v>1</v>
      </c>
      <c r="AD67" s="18"/>
      <c r="AE67" s="18"/>
      <c r="AF67" s="18">
        <v>1</v>
      </c>
      <c r="AG67" s="18">
        <v>1</v>
      </c>
      <c r="AH67" s="18">
        <v>1</v>
      </c>
      <c r="AI67" s="20">
        <v>1</v>
      </c>
      <c r="AJ67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23</v>
      </c>
      <c r="AK67" s="29">
        <f ca="1">IF(Август[[#This Row],[УСЛУГ]]&lt;&gt;"",Август[[#This Row],[УСЛУГ]]*Август[[#This Row],[Периодичность]],"")</f>
        <v>161</v>
      </c>
    </row>
    <row r="68" spans="1:37" ht="18.75" x14ac:dyDescent="0.25">
      <c r="A68" s="16"/>
      <c r="B68" s="2"/>
      <c r="C68" s="8">
        <v>7</v>
      </c>
      <c r="D68" s="11">
        <v>2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20"/>
      <c r="AJ68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68" s="29" t="str">
        <f ca="1">IF(Август[[#This Row],[УСЛУГ]]&lt;&gt;"",Август[[#This Row],[УСЛУГ]]*Август[[#This Row],[Периодичность]],"")</f>
        <v/>
      </c>
    </row>
    <row r="69" spans="1:37" ht="18.75" x14ac:dyDescent="0.25">
      <c r="A69" s="16"/>
      <c r="B69" s="2"/>
      <c r="C69" s="8">
        <v>7</v>
      </c>
      <c r="D69" s="11">
        <v>3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20"/>
      <c r="AJ69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69" s="29" t="str">
        <f ca="1">IF(Август[[#This Row],[УСЛУГ]]&lt;&gt;"",Август[[#This Row],[УСЛУГ]]*Август[[#This Row],[Периодичность]],"")</f>
        <v/>
      </c>
    </row>
    <row r="70" spans="1:37" ht="47.25" x14ac:dyDescent="0.25">
      <c r="A70" s="16" t="s">
        <v>81</v>
      </c>
      <c r="B70" s="2" t="s">
        <v>59</v>
      </c>
      <c r="C70" s="8">
        <v>5</v>
      </c>
      <c r="D70" s="11">
        <v>1</v>
      </c>
      <c r="E70" s="18"/>
      <c r="F70" s="18">
        <v>1</v>
      </c>
      <c r="G70" s="18"/>
      <c r="H70" s="18">
        <v>1</v>
      </c>
      <c r="I70" s="18"/>
      <c r="J70" s="18"/>
      <c r="K70" s="18">
        <v>1</v>
      </c>
      <c r="L70" s="18"/>
      <c r="M70" s="18">
        <v>1</v>
      </c>
      <c r="N70" s="18"/>
      <c r="O70" s="18">
        <v>1</v>
      </c>
      <c r="P70" s="18"/>
      <c r="Q70" s="18"/>
      <c r="R70" s="18">
        <v>1</v>
      </c>
      <c r="S70" s="18"/>
      <c r="T70" s="18">
        <v>1</v>
      </c>
      <c r="U70" s="18"/>
      <c r="V70" s="18">
        <v>1</v>
      </c>
      <c r="W70" s="18"/>
      <c r="X70" s="18"/>
      <c r="Y70" s="18">
        <v>1</v>
      </c>
      <c r="Z70" s="18"/>
      <c r="AA70" s="18">
        <v>1</v>
      </c>
      <c r="AB70" s="18"/>
      <c r="AC70" s="18">
        <v>1</v>
      </c>
      <c r="AD70" s="18"/>
      <c r="AE70" s="18"/>
      <c r="AF70" s="18">
        <v>1</v>
      </c>
      <c r="AG70" s="18"/>
      <c r="AH70" s="18">
        <v>1</v>
      </c>
      <c r="AI70" s="20"/>
      <c r="AJ70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13</v>
      </c>
      <c r="AK70" s="29">
        <f ca="1">IF(Август[[#This Row],[УСЛУГ]]&lt;&gt;"",Август[[#This Row],[УСЛУГ]]*Август[[#This Row],[Периодичность]],"")</f>
        <v>65</v>
      </c>
    </row>
    <row r="71" spans="1:37" ht="18.75" x14ac:dyDescent="0.25">
      <c r="A71" s="16"/>
      <c r="B71" s="2"/>
      <c r="C71" s="8">
        <v>5</v>
      </c>
      <c r="D71" s="11">
        <v>2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20"/>
      <c r="AJ71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71" s="29" t="str">
        <f ca="1">IF(Август[[#This Row],[УСЛУГ]]&lt;&gt;"",Август[[#This Row],[УСЛУГ]]*Август[[#This Row],[Периодичность]],"")</f>
        <v/>
      </c>
    </row>
    <row r="72" spans="1:37" ht="18.75" x14ac:dyDescent="0.25">
      <c r="A72" s="16"/>
      <c r="B72" s="2"/>
      <c r="C72" s="8">
        <v>5</v>
      </c>
      <c r="D72" s="11">
        <v>3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20"/>
      <c r="AJ72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72" s="29" t="str">
        <f ca="1">IF(Август[[#This Row],[УСЛУГ]]&lt;&gt;"",Август[[#This Row],[УСЛУГ]]*Август[[#This Row],[Периодичность]],"")</f>
        <v/>
      </c>
    </row>
    <row r="73" spans="1:37" ht="47.25" x14ac:dyDescent="0.25">
      <c r="A73" s="16" t="s">
        <v>80</v>
      </c>
      <c r="B73" s="2" t="s">
        <v>59</v>
      </c>
      <c r="C73" s="8">
        <v>5</v>
      </c>
      <c r="D73" s="11">
        <v>1</v>
      </c>
      <c r="E73" s="18"/>
      <c r="F73" s="18">
        <v>1</v>
      </c>
      <c r="G73" s="18"/>
      <c r="H73" s="18">
        <v>1</v>
      </c>
      <c r="I73" s="18"/>
      <c r="J73" s="18"/>
      <c r="K73" s="18">
        <v>1</v>
      </c>
      <c r="L73" s="18"/>
      <c r="M73" s="18">
        <v>1</v>
      </c>
      <c r="N73" s="18"/>
      <c r="O73" s="18">
        <v>1</v>
      </c>
      <c r="P73" s="18"/>
      <c r="Q73" s="18"/>
      <c r="R73" s="18">
        <v>1</v>
      </c>
      <c r="S73" s="18"/>
      <c r="T73" s="18">
        <v>1</v>
      </c>
      <c r="U73" s="18"/>
      <c r="V73" s="18">
        <v>1</v>
      </c>
      <c r="W73" s="18"/>
      <c r="X73" s="18"/>
      <c r="Y73" s="18">
        <v>1</v>
      </c>
      <c r="Z73" s="18"/>
      <c r="AA73" s="18">
        <v>1</v>
      </c>
      <c r="AB73" s="18"/>
      <c r="AC73" s="18">
        <v>1</v>
      </c>
      <c r="AD73" s="18"/>
      <c r="AE73" s="18"/>
      <c r="AF73" s="18">
        <v>1</v>
      </c>
      <c r="AG73" s="18"/>
      <c r="AH73" s="18">
        <v>1</v>
      </c>
      <c r="AI73" s="20"/>
      <c r="AJ73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13</v>
      </c>
      <c r="AK73" s="29">
        <f ca="1">IF(Август[[#This Row],[УСЛУГ]]&lt;&gt;"",Август[[#This Row],[УСЛУГ]]*Август[[#This Row],[Периодичность]],"")</f>
        <v>65</v>
      </c>
    </row>
    <row r="74" spans="1:37" ht="18.75" x14ac:dyDescent="0.25">
      <c r="A74" s="16"/>
      <c r="B74" s="2"/>
      <c r="C74" s="8">
        <v>5</v>
      </c>
      <c r="D74" s="11">
        <v>2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20"/>
      <c r="AJ74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74" s="29" t="str">
        <f ca="1">IF(Август[[#This Row],[УСЛУГ]]&lt;&gt;"",Август[[#This Row],[УСЛУГ]]*Август[[#This Row],[Периодичность]],"")</f>
        <v/>
      </c>
    </row>
    <row r="75" spans="1:37" ht="18.75" x14ac:dyDescent="0.25">
      <c r="A75" s="16"/>
      <c r="B75" s="2"/>
      <c r="C75" s="8">
        <v>5</v>
      </c>
      <c r="D75" s="11">
        <v>3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20"/>
      <c r="AJ75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75" s="29" t="str">
        <f ca="1">IF(Август[[#This Row],[УСЛУГ]]&lt;&gt;"",Август[[#This Row],[УСЛУГ]]*Август[[#This Row],[Периодичность]],"")</f>
        <v/>
      </c>
    </row>
    <row r="76" spans="1:37" ht="47.25" x14ac:dyDescent="0.25">
      <c r="A76" s="16" t="s">
        <v>79</v>
      </c>
      <c r="B76" s="2" t="s">
        <v>57</v>
      </c>
      <c r="C76" s="8">
        <v>45</v>
      </c>
      <c r="D76" s="11">
        <v>1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20"/>
      <c r="AJ76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9</v>
      </c>
      <c r="AK76" s="29">
        <f ca="1">IF(Август[[#This Row],[УСЛУГ]]&lt;&gt;"",Август[[#This Row],[УСЛУГ]]*Август[[#This Row],[Периодичность]],"")</f>
        <v>405</v>
      </c>
    </row>
    <row r="77" spans="1:37" ht="18.75" x14ac:dyDescent="0.25">
      <c r="A77" s="16"/>
      <c r="B77" s="2"/>
      <c r="C77" s="8">
        <v>45</v>
      </c>
      <c r="D77" s="11">
        <v>2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20"/>
      <c r="AJ77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77" s="29" t="str">
        <f ca="1">IF(Август[[#This Row],[УСЛУГ]]&lt;&gt;"",Август[[#This Row],[УСЛУГ]]*Август[[#This Row],[Периодичность]],"")</f>
        <v/>
      </c>
    </row>
    <row r="78" spans="1:37" x14ac:dyDescent="0.25">
      <c r="A78" s="16"/>
      <c r="B78" s="2"/>
      <c r="C78" s="8">
        <v>45</v>
      </c>
      <c r="D78" s="11">
        <v>3</v>
      </c>
      <c r="E78" s="18">
        <v>1</v>
      </c>
      <c r="F78" s="18"/>
      <c r="G78" s="18"/>
      <c r="H78" s="18">
        <v>1</v>
      </c>
      <c r="I78" s="18"/>
      <c r="J78" s="18"/>
      <c r="K78" s="10"/>
      <c r="L78" s="10">
        <v>1</v>
      </c>
      <c r="M78" s="10"/>
      <c r="N78" s="10"/>
      <c r="O78" s="10">
        <v>1</v>
      </c>
      <c r="P78" s="18"/>
      <c r="Q78" s="18"/>
      <c r="R78" s="10"/>
      <c r="S78" s="10">
        <v>1</v>
      </c>
      <c r="T78" s="10"/>
      <c r="U78" s="10"/>
      <c r="V78" s="10">
        <v>1</v>
      </c>
      <c r="W78" s="18"/>
      <c r="X78" s="18"/>
      <c r="Y78" s="10"/>
      <c r="Z78" s="10">
        <v>1</v>
      </c>
      <c r="AA78" s="10"/>
      <c r="AB78" s="10"/>
      <c r="AC78" s="10">
        <v>1</v>
      </c>
      <c r="AD78" s="18"/>
      <c r="AE78" s="18"/>
      <c r="AF78" s="18"/>
      <c r="AG78" s="18">
        <v>1</v>
      </c>
      <c r="AH78" s="18"/>
      <c r="AI78" s="19"/>
      <c r="AJ78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78" s="29" t="str">
        <f ca="1">IF(Август[[#This Row],[УСЛУГ]]&lt;&gt;"",Август[[#This Row],[УСЛУГ]]*Август[[#This Row],[Периодичность]],"")</f>
        <v/>
      </c>
    </row>
    <row r="79" spans="1:37" ht="47.25" x14ac:dyDescent="0.25">
      <c r="A79" s="16" t="s">
        <v>78</v>
      </c>
      <c r="B79" s="2" t="s">
        <v>59</v>
      </c>
      <c r="C79" s="8">
        <v>10</v>
      </c>
      <c r="D79" s="11">
        <v>1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23</v>
      </c>
      <c r="AK79" s="29">
        <f ca="1">IF(Август[[#This Row],[УСЛУГ]]&lt;&gt;"",Август[[#This Row],[УСЛУГ]]*Август[[#This Row],[Периодичность]],"")</f>
        <v>230</v>
      </c>
    </row>
    <row r="80" spans="1:37" ht="18.75" x14ac:dyDescent="0.25">
      <c r="A80" s="16"/>
      <c r="B80" s="2"/>
      <c r="C80" s="8">
        <v>10</v>
      </c>
      <c r="D80" s="11">
        <v>2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20"/>
      <c r="AJ80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80" s="29" t="str">
        <f ca="1">IF(Август[[#This Row],[УСЛУГ]]&lt;&gt;"",Август[[#This Row],[УСЛУГ]]*Август[[#This Row],[Периодичность]],"")</f>
        <v/>
      </c>
    </row>
    <row r="81" spans="1:37" x14ac:dyDescent="0.25">
      <c r="A81" s="16"/>
      <c r="B81" s="2"/>
      <c r="C81" s="8">
        <v>10</v>
      </c>
      <c r="D81" s="11">
        <v>3</v>
      </c>
      <c r="E81" s="18">
        <v>1</v>
      </c>
      <c r="F81" s="18">
        <v>1</v>
      </c>
      <c r="G81" s="18">
        <v>1</v>
      </c>
      <c r="H81" s="18">
        <v>1</v>
      </c>
      <c r="I81" s="18"/>
      <c r="J81" s="18"/>
      <c r="K81" s="10">
        <v>1</v>
      </c>
      <c r="L81" s="10">
        <v>1</v>
      </c>
      <c r="M81" s="10">
        <v>1</v>
      </c>
      <c r="N81" s="10">
        <v>1</v>
      </c>
      <c r="O81" s="10">
        <v>1</v>
      </c>
      <c r="P81" s="18"/>
      <c r="Q81" s="18"/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8"/>
      <c r="X81" s="18"/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8"/>
      <c r="AE81" s="18"/>
      <c r="AF81" s="18">
        <v>1</v>
      </c>
      <c r="AG81" s="18">
        <v>1</v>
      </c>
      <c r="AH81" s="18">
        <v>1</v>
      </c>
      <c r="AI81" s="19">
        <v>1</v>
      </c>
      <c r="AJ81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81" s="29" t="str">
        <f ca="1">IF(Август[[#This Row],[УСЛУГ]]&lt;&gt;"",Август[[#This Row],[УСЛУГ]]*Август[[#This Row],[Периодичность]],"")</f>
        <v/>
      </c>
    </row>
  </sheetData>
  <mergeCells count="20">
    <mergeCell ref="AK19:AK23"/>
    <mergeCell ref="E22:AI23"/>
    <mergeCell ref="AK7:AK11"/>
    <mergeCell ref="E10:AI11"/>
    <mergeCell ref="E7:AI8"/>
    <mergeCell ref="E19:AI20"/>
    <mergeCell ref="A19:A23"/>
    <mergeCell ref="B19:C23"/>
    <mergeCell ref="D19:D23"/>
    <mergeCell ref="AJ19:AJ23"/>
    <mergeCell ref="A7:A11"/>
    <mergeCell ref="B7:B11"/>
    <mergeCell ref="C7:C11"/>
    <mergeCell ref="D7:D11"/>
    <mergeCell ref="AJ7:AJ11"/>
    <mergeCell ref="A2:AJ2"/>
    <mergeCell ref="A3:AJ3"/>
    <mergeCell ref="J4:L4"/>
    <mergeCell ref="M4:U4"/>
    <mergeCell ref="M5:Q5"/>
  </mergeCells>
  <conditionalFormatting sqref="E9:AI9">
    <cfRule type="expression" dxfId="490" priority="3">
      <formula>WEEKDAY(E9:AI9,2)&gt;5</formula>
    </cfRule>
  </conditionalFormatting>
  <conditionalFormatting sqref="E21:AI21">
    <cfRule type="expression" dxfId="489" priority="2">
      <formula>WEEKDAY(E21:AI21,2)&gt;5</formula>
    </cfRule>
  </conditionalFormatting>
  <dataValidations count="2">
    <dataValidation type="list" allowBlank="1" showInputMessage="1" showErrorMessage="1" sqref="D25:D81">
      <formula1>INDIRECT("Посещения")</formula1>
    </dataValidation>
    <dataValidation type="list" allowBlank="1" showInputMessage="1" showErrorMessage="1" sqref="A25:A81">
      <formula1>INDIRECT("Услуги[Кратко]")</formula1>
    </dataValidation>
  </dataValidations>
  <pageMargins left="0.25" right="0.25" top="0.75" bottom="0.75" header="0.3" footer="0.3"/>
  <pageSetup paperSize="9" scale="49" fitToHeight="0" orientation="landscape" horizontalDpi="300" verticalDpi="300" r:id="rId1"/>
  <ignoredErrors>
    <ignoredError sqref="AI14:AK17 E13:E17 B13:B17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Настройки</vt:lpstr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2023-10-25T08:09:16Z</dcterms:modified>
</cp:coreProperties>
</file>