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daniel\workspace\ExpanDialSticks\Python\study2\ueq-s\"/>
    </mc:Choice>
  </mc:AlternateContent>
  <xr:revisionPtr revIDLastSave="0" documentId="8_{B4BC6DCC-0455-402D-85D8-666ABFAB63BA}" xr6:coauthVersionLast="45" xr6:coauthVersionMax="45" xr10:uidLastSave="{00000000-0000-0000-0000-000000000000}"/>
  <bookViews>
    <workbookView xWindow="-108" yWindow="-108" windowWidth="23256" windowHeight="12600"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D6" i="11" l="1"/>
  <c r="C6" i="11"/>
  <c r="D5" i="11"/>
  <c r="C5" i="11"/>
  <c r="D4" i="11"/>
  <c r="C4" i="11"/>
  <c r="G28" i="1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375" i="14" l="1"/>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B15" i="15" l="1"/>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<sst xmlns="http://schemas.openxmlformats.org/spreadsheetml/2006/main" count="793" uniqueCount="702">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</sst>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1.2</c:v>
                </c:pt>
                <c:pt idx="1">
                  <c:v>1.7</c:v>
                </c:pt>
                <c:pt idx="2">
                  <c:v>0.5</c:v>
                </c:pt>
                <c:pt idx="3">
                  <c:v>1</c:v>
                </c:pt>
                <c:pt idx="4">
                  <c:v>0.3</c:v>
                </c:pt>
                <c:pt idx="5">
                  <c:v>0.8</c:v>
                </c:pt>
                <c:pt idx="6">
                  <c:v>0.7</c:v>
                </c:pt>
                <c:pt idx="7">
                  <c:v>0.6</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1.1000000000000001</c:v>
                </c:pt>
                <c:pt idx="1">
                  <c:v>0.6</c:v>
                </c:pt>
                <c:pt idx="2">
                  <c:v>0.85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fr-FR"/>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1.1000000000000001</c:v>
                </c:pt>
                <c:pt idx="1">
                  <c:v>0.6</c:v>
                </c:pt>
                <c:pt idx="2" formatCode="0.00">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09375" defaultRowHeight="14.4" x14ac:dyDescent="0.3"/>
  <cols>
    <col min="1" max="1" width="35.109375" customWidth="1"/>
    <col min="2" max="2" width="22" customWidth="1"/>
    <col min="3" max="3" width="43" customWidth="1"/>
  </cols>
  <sheetData>
    <row r="1" spans="1:3" ht="52.5" customHeight="1" x14ac:dyDescent="0.3">
      <c r="A1" s="63" t="s">
        <v>267</v>
      </c>
      <c r="B1" s="63"/>
      <c r="C1" s="63"/>
    </row>
    <row r="2" spans="1:3" ht="107.25" customHeight="1" x14ac:dyDescent="0.3">
      <c r="A2" s="64" t="s">
        <v>425</v>
      </c>
      <c r="B2" s="64"/>
      <c r="C2" s="64"/>
    </row>
    <row r="4" spans="1:3" ht="18" x14ac:dyDescent="0.35">
      <c r="A4" s="28" t="s">
        <v>258</v>
      </c>
      <c r="B4" s="29" t="s">
        <v>40</v>
      </c>
    </row>
    <row r="6" spans="1:3" ht="30.75" customHeight="1" x14ac:dyDescent="0.3">
      <c r="A6" s="65" t="s">
        <v>259</v>
      </c>
      <c r="B6" s="65"/>
      <c r="C6" s="65"/>
    </row>
    <row r="8" spans="1:3" ht="262.5" customHeight="1" x14ac:dyDescent="0.3">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8.88671875"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2" t="s">
        <v>271</v>
      </c>
      <c r="B1" s="82"/>
      <c r="C1" s="82"/>
      <c r="D1" s="82"/>
      <c r="E1" s="82"/>
      <c r="F1" s="82"/>
      <c r="G1" s="82"/>
    </row>
    <row r="2" spans="1:7" ht="197.25" customHeight="1" x14ac:dyDescent="0.3">
      <c r="A2" s="65" t="s">
        <v>272</v>
      </c>
      <c r="B2" s="65"/>
      <c r="C2" s="65"/>
      <c r="D2" s="65"/>
      <c r="E2" s="65"/>
      <c r="F2" s="65"/>
      <c r="G2" s="65"/>
    </row>
    <row r="3" spans="1:7" x14ac:dyDescent="0.3">
      <c r="A3" s="83"/>
      <c r="B3" s="83"/>
      <c r="C3" s="83"/>
      <c r="D3" s="83"/>
      <c r="E3" s="83"/>
      <c r="F3" s="83"/>
      <c r="G3" s="83"/>
    </row>
    <row r="4" spans="1:7" x14ac:dyDescent="0.3">
      <c r="A4" s="30" t="s">
        <v>25</v>
      </c>
      <c r="B4" s="30" t="s">
        <v>269</v>
      </c>
    </row>
    <row r="5" spans="1:7" x14ac:dyDescent="0.3">
      <c r="A5" s="27" t="str">
        <f>VLOOKUP(Read_First!B4,Items!A1:S50,18,FALSE)</f>
        <v>Pragmatic Quality</v>
      </c>
      <c r="B5" s="10">
        <f>SQRT(VAR(DT!K4:K1004))</f>
        <v>0.68920243760451116</v>
      </c>
    </row>
    <row r="6" spans="1:7" x14ac:dyDescent="0.3">
      <c r="A6" s="27" t="str">
        <f>VLOOKUP(Read_First!B4,Items!A1:S50,19,FALSE)</f>
        <v>Hedonic Quality</v>
      </c>
      <c r="B6" s="10">
        <f>SQRT(VAR(DT!L4:L1004))</f>
        <v>0.80966385343274128</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f>POWER((1.65*B5)/0.5,2)</f>
        <v>5.1727500000000006</v>
      </c>
      <c r="C10" s="7">
        <f>POWER((1.65*B6)/0.5,2)</f>
        <v>7.1389999999999993</v>
      </c>
      <c r="D10" s="44"/>
      <c r="E10" s="44"/>
      <c r="F10" s="44"/>
      <c r="G10" s="44"/>
    </row>
    <row r="11" spans="1:7" x14ac:dyDescent="0.3">
      <c r="A11" s="30" t="s">
        <v>274</v>
      </c>
      <c r="B11" s="7">
        <f>POWER((1.96*B5)/0.5,2)</f>
        <v>7.2990400000000006</v>
      </c>
      <c r="C11" s="7">
        <f>POWER((1.96*B6)/0.5,2)</f>
        <v>10.073528888888889</v>
      </c>
      <c r="D11" s="44"/>
      <c r="E11" s="44"/>
      <c r="F11" s="44"/>
      <c r="G11" s="44"/>
    </row>
    <row r="12" spans="1:7" x14ac:dyDescent="0.3">
      <c r="A12" s="30" t="s">
        <v>275</v>
      </c>
      <c r="B12" s="7">
        <f>POWER((2.58*B6)/0.5,2)</f>
        <v>17.454560000000001</v>
      </c>
      <c r="C12" s="7">
        <f>POWER((2.58*B6)/0.5,2)</f>
        <v>17.454560000000001</v>
      </c>
      <c r="D12" s="44"/>
      <c r="E12" s="44"/>
      <c r="F12" s="44"/>
      <c r="G12" s="44"/>
    </row>
    <row r="13" spans="1:7" x14ac:dyDescent="0.3">
      <c r="A13" s="30" t="s">
        <v>276</v>
      </c>
      <c r="B13" s="7">
        <f>POWER((1.65*B5)/0.25,2)</f>
        <v>20.691000000000003</v>
      </c>
      <c r="C13" s="7">
        <f>POWER((1.65*B6)/0.25,2)</f>
        <v>28.555999999999997</v>
      </c>
      <c r="D13" s="44"/>
      <c r="E13" s="44"/>
      <c r="F13" s="44"/>
      <c r="G13" s="44"/>
    </row>
    <row r="14" spans="1:7" x14ac:dyDescent="0.3">
      <c r="A14" s="30" t="s">
        <v>277</v>
      </c>
      <c r="B14" s="7">
        <f>POWER((1.96*B5)/0.25,2)</f>
        <v>29.196160000000003</v>
      </c>
      <c r="C14" s="7">
        <f>POWER((1.96*B6)/0.25,2)</f>
        <v>40.294115555555557</v>
      </c>
      <c r="D14" s="44"/>
      <c r="E14" s="44"/>
      <c r="F14" s="44"/>
      <c r="G14" s="44"/>
    </row>
    <row r="15" spans="1:7" x14ac:dyDescent="0.3">
      <c r="A15" s="30" t="s">
        <v>278</v>
      </c>
      <c r="B15" s="7">
        <f>POWER((2.58*B5)/0.25,2)</f>
        <v>50.588640000000012</v>
      </c>
      <c r="C15" s="7">
        <f>POWER((2.58*B6)/0.25,2)</f>
        <v>69.818240000000003</v>
      </c>
      <c r="D15" s="44"/>
      <c r="E15" s="44"/>
      <c r="F15" s="44"/>
      <c r="G15" s="44"/>
    </row>
    <row r="16" spans="1:7" x14ac:dyDescent="0.3">
      <c r="A16" s="30" t="s">
        <v>279</v>
      </c>
      <c r="B16" s="7">
        <f>POWER((1.65*B5)/0.1,2)</f>
        <v>129.31875000000002</v>
      </c>
      <c r="C16" s="7">
        <f>POWER((1.65*B6)/0.1,2)</f>
        <v>178.47499999999997</v>
      </c>
      <c r="D16" s="44"/>
      <c r="E16" s="44"/>
      <c r="F16" s="44"/>
      <c r="G16" s="44"/>
    </row>
    <row r="17" spans="1:7" x14ac:dyDescent="0.3">
      <c r="A17" s="30" t="s">
        <v>280</v>
      </c>
      <c r="B17" s="7">
        <f>POWER((1.96*B5)/0.1,2)</f>
        <v>182.47599999999997</v>
      </c>
      <c r="C17" s="7">
        <f>POWER((1.96*B6)/0.1,2)</f>
        <v>251.83822222222221</v>
      </c>
      <c r="D17" s="44"/>
      <c r="E17" s="44"/>
      <c r="F17" s="44"/>
      <c r="G17" s="44"/>
    </row>
    <row r="18" spans="1:7" x14ac:dyDescent="0.3">
      <c r="A18" s="30" t="s">
        <v>281</v>
      </c>
      <c r="B18" s="7">
        <f>POWER((2.58*B5)/0.1,2)</f>
        <v>316.17899999999997</v>
      </c>
      <c r="C18" s="7">
        <f>POWER((2.58*B6)/0.1,2)</f>
        <v>436.36399999999986</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M13" sqref="M13"/>
    </sheetView>
  </sheetViews>
  <sheetFormatPr baseColWidth="10" defaultColWidth="9.109375" defaultRowHeight="14.4" x14ac:dyDescent="0.3"/>
  <cols>
    <col min="1" max="8" width="8.77734375" style="2" customWidth="1"/>
  </cols>
  <sheetData>
    <row r="1" spans="1:8" ht="126" customHeight="1" x14ac:dyDescent="0.3">
      <c r="A1" s="67" t="s">
        <v>268</v>
      </c>
      <c r="B1" s="68"/>
      <c r="C1" s="68"/>
      <c r="D1" s="68"/>
      <c r="E1" s="68"/>
      <c r="F1" s="68"/>
      <c r="G1" s="68"/>
      <c r="H1" s="68"/>
    </row>
    <row r="2" spans="1:8" x14ac:dyDescent="0.3">
      <c r="A2" s="69" t="s">
        <v>0</v>
      </c>
      <c r="B2" s="69"/>
      <c r="C2" s="69"/>
      <c r="D2" s="69"/>
      <c r="E2" s="69"/>
      <c r="F2" s="69"/>
      <c r="G2" s="69"/>
      <c r="H2" s="69"/>
    </row>
    <row r="3" spans="1:8" x14ac:dyDescent="0.3">
      <c r="A3" s="1">
        <v>1</v>
      </c>
      <c r="B3" s="1">
        <v>2</v>
      </c>
      <c r="C3" s="1">
        <v>3</v>
      </c>
      <c r="D3" s="1">
        <v>4</v>
      </c>
      <c r="E3" s="1">
        <v>5</v>
      </c>
      <c r="F3" s="1">
        <v>6</v>
      </c>
      <c r="G3" s="1">
        <v>7</v>
      </c>
      <c r="H3" s="1">
        <v>8</v>
      </c>
    </row>
    <row r="4" spans="1:8" x14ac:dyDescent="0.3">
      <c r="A4" s="9">
        <v>1</v>
      </c>
      <c r="B4" s="9">
        <v>6</v>
      </c>
      <c r="C4" s="9">
        <v>4</v>
      </c>
      <c r="D4" s="9">
        <v>5</v>
      </c>
      <c r="E4" s="9">
        <v>3</v>
      </c>
      <c r="F4" s="9">
        <v>4</v>
      </c>
      <c r="G4" s="9">
        <v>3</v>
      </c>
      <c r="H4" s="9">
        <v>5</v>
      </c>
    </row>
    <row r="5" spans="1:8" x14ac:dyDescent="0.3">
      <c r="A5" s="9">
        <v>5</v>
      </c>
      <c r="B5" s="9">
        <v>5</v>
      </c>
      <c r="C5" s="9">
        <v>4</v>
      </c>
      <c r="D5" s="9">
        <v>5</v>
      </c>
      <c r="E5" s="9">
        <v>2</v>
      </c>
      <c r="F5" s="9">
        <v>3</v>
      </c>
      <c r="G5" s="9">
        <v>4</v>
      </c>
      <c r="H5" s="9">
        <v>5</v>
      </c>
    </row>
    <row r="6" spans="1:8" x14ac:dyDescent="0.3">
      <c r="A6" s="9">
        <v>6</v>
      </c>
      <c r="B6" s="9">
        <v>7</v>
      </c>
      <c r="C6" s="9">
        <v>2</v>
      </c>
      <c r="D6" s="9">
        <v>5</v>
      </c>
      <c r="E6" s="9">
        <v>5</v>
      </c>
      <c r="F6" s="9">
        <v>6</v>
      </c>
      <c r="G6" s="9">
        <v>5</v>
      </c>
      <c r="H6" s="9">
        <v>4</v>
      </c>
    </row>
    <row r="7" spans="1:8" x14ac:dyDescent="0.3">
      <c r="A7" s="9">
        <v>5</v>
      </c>
      <c r="B7" s="9">
        <v>6</v>
      </c>
      <c r="C7" s="9">
        <v>6</v>
      </c>
      <c r="D7" s="9">
        <v>4</v>
      </c>
      <c r="E7" s="9">
        <v>4</v>
      </c>
      <c r="F7" s="9">
        <v>6</v>
      </c>
      <c r="G7" s="9">
        <v>6</v>
      </c>
      <c r="H7" s="9">
        <v>4</v>
      </c>
    </row>
    <row r="8" spans="1:8" x14ac:dyDescent="0.3">
      <c r="A8" s="9">
        <v>4</v>
      </c>
      <c r="B8" s="9">
        <v>4</v>
      </c>
      <c r="C8" s="9">
        <v>4</v>
      </c>
      <c r="D8" s="9">
        <v>5</v>
      </c>
      <c r="E8" s="9">
        <v>5</v>
      </c>
      <c r="F8" s="9">
        <v>5</v>
      </c>
      <c r="G8" s="9">
        <v>4</v>
      </c>
      <c r="H8" s="9">
        <v>5</v>
      </c>
    </row>
    <row r="9" spans="1:8" x14ac:dyDescent="0.3">
      <c r="A9" s="9">
        <v>6</v>
      </c>
      <c r="B9" s="9">
        <v>4</v>
      </c>
      <c r="C9" s="9">
        <v>4</v>
      </c>
      <c r="D9" s="9">
        <v>5</v>
      </c>
      <c r="E9" s="9">
        <v>6</v>
      </c>
      <c r="F9" s="9">
        <v>6</v>
      </c>
      <c r="G9" s="9">
        <v>5</v>
      </c>
      <c r="H9" s="9">
        <v>5</v>
      </c>
    </row>
    <row r="10" spans="1:8" x14ac:dyDescent="0.3">
      <c r="A10" s="9">
        <v>5</v>
      </c>
      <c r="B10" s="9">
        <v>6</v>
      </c>
      <c r="C10" s="9">
        <v>6</v>
      </c>
      <c r="D10" s="9">
        <v>6</v>
      </c>
      <c r="E10" s="9">
        <v>3</v>
      </c>
      <c r="F10" s="9">
        <v>4</v>
      </c>
      <c r="G10" s="9">
        <v>4</v>
      </c>
      <c r="H10" s="9">
        <v>3</v>
      </c>
    </row>
    <row r="11" spans="1:8" x14ac:dyDescent="0.3">
      <c r="A11" s="9">
        <v>7</v>
      </c>
      <c r="B11" s="9">
        <v>6</v>
      </c>
      <c r="C11" s="9">
        <v>4</v>
      </c>
      <c r="D11" s="9">
        <v>5</v>
      </c>
      <c r="E11" s="9">
        <v>5</v>
      </c>
      <c r="F11" s="9">
        <v>3</v>
      </c>
      <c r="G11" s="9">
        <v>5</v>
      </c>
      <c r="H11" s="9">
        <v>4</v>
      </c>
    </row>
    <row r="12" spans="1:8" x14ac:dyDescent="0.3">
      <c r="A12" s="9">
        <v>7</v>
      </c>
      <c r="B12" s="9">
        <v>7</v>
      </c>
      <c r="C12" s="9">
        <v>6</v>
      </c>
      <c r="D12" s="9">
        <v>5</v>
      </c>
      <c r="E12" s="9">
        <v>4</v>
      </c>
      <c r="F12" s="9">
        <v>6</v>
      </c>
      <c r="G12" s="9">
        <v>5</v>
      </c>
      <c r="H12" s="9">
        <v>5</v>
      </c>
    </row>
    <row r="13" spans="1:8" x14ac:dyDescent="0.3">
      <c r="A13" s="9">
        <v>6</v>
      </c>
      <c r="B13" s="9">
        <v>6</v>
      </c>
      <c r="C13" s="9">
        <v>5</v>
      </c>
      <c r="D13" s="9">
        <v>5</v>
      </c>
      <c r="E13" s="9">
        <v>6</v>
      </c>
      <c r="F13" s="9">
        <v>5</v>
      </c>
      <c r="G13" s="9">
        <v>6</v>
      </c>
      <c r="H13" s="9">
        <v>6</v>
      </c>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0" t="s">
        <v>427</v>
      </c>
      <c r="B1" s="68"/>
      <c r="C1" s="68"/>
      <c r="D1" s="68"/>
      <c r="E1" s="68"/>
      <c r="F1" s="68"/>
      <c r="G1" s="68"/>
      <c r="H1" s="68"/>
      <c r="K1" s="71"/>
      <c r="L1" s="72"/>
      <c r="M1" s="72"/>
    </row>
    <row r="2" spans="1:13" x14ac:dyDescent="0.3">
      <c r="A2" s="69" t="s">
        <v>0</v>
      </c>
      <c r="B2" s="69"/>
      <c r="C2" s="69"/>
      <c r="D2" s="69"/>
      <c r="E2" s="69"/>
      <c r="F2" s="69"/>
      <c r="G2" s="69"/>
      <c r="H2" s="69"/>
      <c r="K2" s="69" t="s">
        <v>4</v>
      </c>
      <c r="L2" s="69"/>
      <c r="M2" s="69"/>
    </row>
    <row r="3" spans="1:13" x14ac:dyDescent="0.3">
      <c r="A3" s="1">
        <v>1</v>
      </c>
      <c r="B3" s="1">
        <v>2</v>
      </c>
      <c r="C3" s="1">
        <v>3</v>
      </c>
      <c r="D3" s="1">
        <v>4</v>
      </c>
      <c r="E3" s="1">
        <v>5</v>
      </c>
      <c r="F3" s="1">
        <v>6</v>
      </c>
      <c r="G3" s="1">
        <v>7</v>
      </c>
      <c r="H3" s="1">
        <v>8</v>
      </c>
      <c r="K3" s="30" t="s">
        <v>74</v>
      </c>
      <c r="L3" s="30" t="s">
        <v>77</v>
      </c>
      <c r="M3" s="30" t="s">
        <v>419</v>
      </c>
    </row>
    <row r="4" spans="1:13"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10">
        <f>IF(COUNT(A4,B4,C4,D4)&gt;0,AVERAGE(A4,B4,C4,D4),"")</f>
        <v>0</v>
      </c>
      <c r="L4" s="10">
        <f>IF(COUNT(E4,F4,G4,H4)&gt;0,AVERAGE(E4,F4,G4,H4),"")</f>
        <v>-0.25</v>
      </c>
      <c r="M4" s="10">
        <f>IF(COUNT(A4,B4,C4,D4,E4,F4,G4,H4)&gt;0,AVERAGE(A4,B4,C4,D4,E4,F4,G4,H4),"")</f>
        <v>-0.125</v>
      </c>
    </row>
    <row r="5" spans="1:13"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10">
        <f t="shared" ref="K5:K68" si="0">IF(COUNT(A5,B5,C5,D5)&gt;0,AVERAGE(A5,B5,C5,D5),"")</f>
        <v>0.75</v>
      </c>
      <c r="L5" s="10">
        <f t="shared" ref="L5:L68" si="1">IF(COUNT(E5,F5,G5,H5)&gt;0,AVERAGE(E5,F5,G5,H5),"")</f>
        <v>-0.5</v>
      </c>
      <c r="M5" s="10">
        <f t="shared" ref="M5:M68" si="2">IF(COUNT(A5,B5,C5,D5,E5,F5,G5,H5)&gt;0,AVERAGE(A5,B5,C5,D5,E5,F5,G5,H5),"")</f>
        <v>0.125</v>
      </c>
    </row>
    <row r="6" spans="1:13"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10">
        <f t="shared" si="0"/>
        <v>1</v>
      </c>
      <c r="L6" s="10">
        <f t="shared" si="1"/>
        <v>1</v>
      </c>
      <c r="M6" s="10">
        <f t="shared" si="2"/>
        <v>1</v>
      </c>
    </row>
    <row r="7" spans="1:13"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10">
        <f t="shared" si="0"/>
        <v>1.25</v>
      </c>
      <c r="L7" s="10">
        <f t="shared" si="1"/>
        <v>1</v>
      </c>
      <c r="M7" s="10">
        <f t="shared" si="2"/>
        <v>1.125</v>
      </c>
    </row>
    <row r="8" spans="1:13"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10">
        <f t="shared" si="0"/>
        <v>0.25</v>
      </c>
      <c r="L8" s="10">
        <f t="shared" si="1"/>
        <v>0.75</v>
      </c>
      <c r="M8" s="10">
        <f t="shared" si="2"/>
        <v>0.5</v>
      </c>
    </row>
    <row r="9" spans="1:13"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10">
        <f t="shared" si="0"/>
        <v>0.75</v>
      </c>
      <c r="L9" s="10">
        <f t="shared" si="1"/>
        <v>1.5</v>
      </c>
      <c r="M9" s="10">
        <f t="shared" si="2"/>
        <v>1.125</v>
      </c>
    </row>
    <row r="10" spans="1:13"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10">
        <f t="shared" si="0"/>
        <v>1.75</v>
      </c>
      <c r="L10" s="10">
        <f t="shared" si="1"/>
        <v>-0.5</v>
      </c>
      <c r="M10" s="10">
        <f t="shared" si="2"/>
        <v>0.625</v>
      </c>
    </row>
    <row r="11" spans="1:13"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10">
        <f t="shared" si="0"/>
        <v>1.5</v>
      </c>
      <c r="L11" s="10">
        <f t="shared" si="1"/>
        <v>0.25</v>
      </c>
      <c r="M11" s="10">
        <f t="shared" si="2"/>
        <v>0.875</v>
      </c>
    </row>
    <row r="12" spans="1:13"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10">
        <f t="shared" si="0"/>
        <v>2.25</v>
      </c>
      <c r="L12" s="10">
        <f t="shared" si="1"/>
        <v>1</v>
      </c>
      <c r="M12" s="10">
        <f t="shared" si="2"/>
        <v>1.625</v>
      </c>
    </row>
    <row r="13" spans="1:13"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10">
        <f t="shared" si="0"/>
        <v>1.5</v>
      </c>
      <c r="L13" s="10">
        <f t="shared" si="1"/>
        <v>1.75</v>
      </c>
      <c r="M13" s="10">
        <f t="shared" si="2"/>
        <v>1.625</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10" t="str">
        <f t="shared" si="0"/>
        <v/>
      </c>
      <c r="L14" s="10" t="str">
        <f t="shared" si="1"/>
        <v/>
      </c>
      <c r="M14" s="10"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10" t="str">
        <f t="shared" si="0"/>
        <v/>
      </c>
      <c r="L15" s="10" t="str">
        <f t="shared" si="1"/>
        <v/>
      </c>
      <c r="M15" s="10"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10" t="str">
        <f t="shared" si="0"/>
        <v/>
      </c>
      <c r="L16" s="10" t="str">
        <f t="shared" si="1"/>
        <v/>
      </c>
      <c r="M16" s="10"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baseColWidth="10"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3" t="s">
        <v>423</v>
      </c>
      <c r="B1" s="74"/>
      <c r="C1" s="74"/>
      <c r="D1" s="74"/>
      <c r="E1" s="74"/>
      <c r="F1" s="74"/>
      <c r="G1" s="74"/>
      <c r="H1" s="74"/>
      <c r="I1" s="74"/>
      <c r="J1" s="74"/>
      <c r="K1" s="74"/>
      <c r="L1" s="74"/>
      <c r="M1" s="74"/>
      <c r="N1" s="74"/>
    </row>
    <row r="3" spans="1:18" x14ac:dyDescent="0.3">
      <c r="A3" s="3" t="s">
        <v>1</v>
      </c>
      <c r="B3" s="5" t="s">
        <v>21</v>
      </c>
      <c r="C3" s="5" t="s">
        <v>22</v>
      </c>
      <c r="D3" s="5" t="s">
        <v>23</v>
      </c>
      <c r="E3" s="5" t="s">
        <v>24</v>
      </c>
      <c r="F3" s="3" t="s">
        <v>421</v>
      </c>
      <c r="G3" s="3" t="s">
        <v>422</v>
      </c>
      <c r="H3" s="5" t="s">
        <v>25</v>
      </c>
      <c r="I3" s="9"/>
      <c r="K3" s="75" t="s">
        <v>420</v>
      </c>
      <c r="L3" s="75"/>
    </row>
    <row r="4" spans="1:18" x14ac:dyDescent="0.3">
      <c r="A4" s="4">
        <v>1</v>
      </c>
      <c r="B4" s="6">
        <f>AVERAGE(DT!A4:A1004)</f>
        <v>1.2</v>
      </c>
      <c r="C4" s="6">
        <f>VAR(DT!A4:A1004)</f>
        <v>3.0666666666666669</v>
      </c>
      <c r="D4" s="6">
        <f>SQRT(C4)</f>
        <v>1.7511900715418263</v>
      </c>
      <c r="E4" s="7">
        <f>COUNTA(Data!A4:A1000)</f>
        <v>10</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AVERAGE(DT!K4:K1004)</f>
        <v>1.1000000000000001</v>
      </c>
      <c r="R4" s="8"/>
    </row>
    <row r="5" spans="1:18" x14ac:dyDescent="0.3">
      <c r="A5" s="4">
        <v>2</v>
      </c>
      <c r="B5" s="6">
        <f>AVERAGE(DT!B4:B1004)</f>
        <v>1.7</v>
      </c>
      <c r="C5" s="6">
        <f>VAR(DT!B4:B1004)</f>
        <v>1.1222222222222225</v>
      </c>
      <c r="D5" s="6">
        <f t="shared" ref="D5:D11" si="0">SQRT(C5)</f>
        <v>1.0593499054713804</v>
      </c>
      <c r="E5" s="7">
        <f>COUNTA(Data!B4:B1000)</f>
        <v>10</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AVERAGE(DT!L4:L1004)</f>
        <v>0.6</v>
      </c>
    </row>
    <row r="6" spans="1:18" x14ac:dyDescent="0.3">
      <c r="A6" s="4">
        <v>3</v>
      </c>
      <c r="B6" s="6">
        <f>AVERAGE(DT!C4:C1004)</f>
        <v>0.5</v>
      </c>
      <c r="C6" s="6">
        <f>VAR(DT!C4:C1004)</f>
        <v>1.6111111111111112</v>
      </c>
      <c r="D6" s="6">
        <f t="shared" si="0"/>
        <v>1.2692955176439846</v>
      </c>
      <c r="E6" s="7">
        <f>COUNTA(Data!C4:C1000)</f>
        <v>10</v>
      </c>
      <c r="F6" s="22" t="str">
        <f>VLOOKUP(Read_First!B4,Items!A1:Q50,14,FALSE)</f>
        <v>inefficient</v>
      </c>
      <c r="G6" s="22" t="str">
        <f>VLOOKUP(Read_First!B4,Items!A1:Q50,15,FALSE)</f>
        <v>efficient</v>
      </c>
      <c r="H6" s="25" t="str">
        <f>VLOOKUP(Read_First!B4,Items!A1:S50,18,FALSE)</f>
        <v>Pragmatic Quality</v>
      </c>
      <c r="I6" s="53"/>
      <c r="K6" s="25" t="s">
        <v>419</v>
      </c>
      <c r="L6" s="13">
        <f>AVERAGE(DT!M4:M1004)</f>
        <v>0.85</v>
      </c>
    </row>
    <row r="7" spans="1:18" x14ac:dyDescent="0.3">
      <c r="A7" s="4">
        <v>4</v>
      </c>
      <c r="B7" s="6">
        <f>AVERAGE(DT!D4:D1004)</f>
        <v>1</v>
      </c>
      <c r="C7" s="6">
        <f>VAR(DT!D4:D1004)</f>
        <v>0.22222222222222221</v>
      </c>
      <c r="D7" s="6">
        <f t="shared" si="0"/>
        <v>0.47140452079103168</v>
      </c>
      <c r="E7" s="7">
        <f>COUNTA(Data!D4:D1000)</f>
        <v>10</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f>AVERAGE(DT!E4:E1004)</f>
        <v>0.3</v>
      </c>
      <c r="C8" s="6">
        <f>VAR(DT!E4:E1004)</f>
        <v>1.788888888888889</v>
      </c>
      <c r="D8" s="6">
        <f t="shared" si="0"/>
        <v>1.3374935098492586</v>
      </c>
      <c r="E8" s="7">
        <f>COUNTA(Data!E4:E1000)</f>
        <v>10</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f>AVERAGE(DT!F4:F1004)</f>
        <v>0.8</v>
      </c>
      <c r="C9" s="6">
        <f>VAR(DT!F4:F1004)</f>
        <v>1.5111111111111111</v>
      </c>
      <c r="D9" s="6">
        <f t="shared" si="0"/>
        <v>1.2292725943057183</v>
      </c>
      <c r="E9" s="7">
        <f>COUNTA(Data!F4:F1000)</f>
        <v>10</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f>AVERAGE(DT!G4:G1004)</f>
        <v>0.7</v>
      </c>
      <c r="C10" s="6">
        <f>VAR(DT!G4:G1004)</f>
        <v>0.89999999999999991</v>
      </c>
      <c r="D10" s="6">
        <f t="shared" si="0"/>
        <v>0.94868329805051377</v>
      </c>
      <c r="E10" s="7">
        <f>COUNTA(Data!G4:G1000)</f>
        <v>10</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f>AVERAGE(DT!H4:H1004)</f>
        <v>0.6</v>
      </c>
      <c r="C11" s="6">
        <f>VAR(DT!H4:H1004)</f>
        <v>0.71111111111111114</v>
      </c>
      <c r="D11" s="6">
        <f t="shared" si="0"/>
        <v>0.84327404271156781</v>
      </c>
      <c r="E11" s="7">
        <f>COUNTA(Data!H4:H1000)</f>
        <v>10</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09375" defaultRowHeight="14.4" x14ac:dyDescent="0.3"/>
  <cols>
    <col min="5" max="5" width="12.6640625" customWidth="1"/>
    <col min="9" max="9" width="18.6640625" customWidth="1"/>
    <col min="13" max="13" width="11.88671875" customWidth="1"/>
  </cols>
  <sheetData>
    <row r="1" spans="1:15" ht="88.5" customHeight="1" x14ac:dyDescent="0.3">
      <c r="A1" s="76" t="s">
        <v>260</v>
      </c>
      <c r="B1" s="77"/>
      <c r="C1" s="77"/>
      <c r="D1" s="77"/>
      <c r="E1" s="77"/>
      <c r="F1" s="77"/>
      <c r="G1" s="77"/>
      <c r="H1" s="77"/>
      <c r="I1" s="77"/>
      <c r="J1" s="77"/>
      <c r="K1" s="77"/>
      <c r="L1" s="77"/>
      <c r="M1" s="77"/>
      <c r="N1" s="77"/>
      <c r="O1" s="77"/>
    </row>
    <row r="3" spans="1:15" x14ac:dyDescent="0.3">
      <c r="A3" s="75" t="s">
        <v>29</v>
      </c>
      <c r="B3" s="75"/>
      <c r="C3" s="75"/>
      <c r="D3" s="75"/>
      <c r="E3" s="75"/>
      <c r="F3" s="75"/>
      <c r="G3" s="75"/>
      <c r="I3" s="75" t="s">
        <v>26</v>
      </c>
      <c r="J3" s="75"/>
      <c r="K3" s="75"/>
      <c r="L3" s="75"/>
      <c r="M3" s="75"/>
      <c r="N3" s="75"/>
      <c r="O3" s="75"/>
    </row>
    <row r="4" spans="1:15" x14ac:dyDescent="0.3">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
      <c r="A5" s="14">
        <v>1</v>
      </c>
      <c r="B5" s="13">
        <f>Results!B4</f>
        <v>1.2</v>
      </c>
      <c r="C5" s="13">
        <f>Results!D4</f>
        <v>1.7511900715418263</v>
      </c>
      <c r="D5" s="7">
        <f>Results!E4</f>
        <v>10</v>
      </c>
      <c r="E5" s="13">
        <f t="shared" ref="E5:E12" si="0">CONFIDENCE(0.05, C5, D5)</f>
        <v>1.0853789069626936</v>
      </c>
      <c r="F5" s="13">
        <f t="shared" ref="F5:F12" si="1">B5-E5</f>
        <v>0.11462109303730639</v>
      </c>
      <c r="G5" s="13">
        <f t="shared" ref="G5:G12" si="2">B5+E5</f>
        <v>2.2853789069626935</v>
      </c>
      <c r="I5" s="12" t="str">
        <f>VLOOKUP(Read_First!B4,Items!A1:S50,18,FALSE)</f>
        <v>Pragmatic Quality</v>
      </c>
      <c r="J5" s="13">
        <f>AVERAGE(DT!K4:K1004)</f>
        <v>1.1000000000000001</v>
      </c>
      <c r="K5" s="13">
        <f>STDEV(DT!K4:K1004)</f>
        <v>0.68920243760451116</v>
      </c>
      <c r="L5" s="7">
        <f>MAX(D5:D12)</f>
        <v>10</v>
      </c>
      <c r="M5" s="13">
        <f t="shared" ref="M5:M7" si="3">CONFIDENCE(0.05, K5, L5)</f>
        <v>0.42716424707947048</v>
      </c>
      <c r="N5" s="13">
        <f t="shared" ref="N5:N7" si="4">J5-M5</f>
        <v>0.67283575292052955</v>
      </c>
      <c r="O5" s="13">
        <f t="shared" ref="O5:O7" si="5">J5+M5</f>
        <v>1.5271642470794706</v>
      </c>
    </row>
    <row r="6" spans="1:15" x14ac:dyDescent="0.3">
      <c r="A6" s="14">
        <v>2</v>
      </c>
      <c r="B6" s="13">
        <f>Results!B5</f>
        <v>1.7</v>
      </c>
      <c r="C6" s="13">
        <f>Results!D5</f>
        <v>1.0593499054713804</v>
      </c>
      <c r="D6" s="7">
        <f>Results!E5</f>
        <v>10</v>
      </c>
      <c r="E6" s="13">
        <f t="shared" si="0"/>
        <v>0.65657980888346823</v>
      </c>
      <c r="F6" s="13">
        <f t="shared" si="1"/>
        <v>1.0434201911165317</v>
      </c>
      <c r="G6" s="13">
        <f t="shared" si="2"/>
        <v>2.3565798088834682</v>
      </c>
      <c r="I6" s="12" t="str">
        <f>VLOOKUP(Read_First!B4,Items!A1:S50,19,FALSE)</f>
        <v>Hedonic Quality</v>
      </c>
      <c r="J6" s="13">
        <f>AVERAGE(DT!L4:L1004)</f>
        <v>0.6</v>
      </c>
      <c r="K6" s="13">
        <f>STDEV(DT!L4:L1004)</f>
        <v>0.80966385343274128</v>
      </c>
      <c r="L6" s="7">
        <f>L5</f>
        <v>10</v>
      </c>
      <c r="M6" s="13">
        <f t="shared" si="3"/>
        <v>0.50182563419418147</v>
      </c>
      <c r="N6" s="13">
        <f t="shared" si="4"/>
        <v>9.8174365805818509E-2</v>
      </c>
      <c r="O6" s="13">
        <f t="shared" si="5"/>
        <v>1.1018256341941814</v>
      </c>
    </row>
    <row r="7" spans="1:15" x14ac:dyDescent="0.3">
      <c r="A7" s="14">
        <v>3</v>
      </c>
      <c r="B7" s="13">
        <f>Results!B6</f>
        <v>0.5</v>
      </c>
      <c r="C7" s="13">
        <f>Results!D6</f>
        <v>1.2692955176439846</v>
      </c>
      <c r="D7" s="7">
        <f>Results!E6</f>
        <v>10</v>
      </c>
      <c r="E7" s="13">
        <f t="shared" si="0"/>
        <v>0.7867030563621884</v>
      </c>
      <c r="F7" s="13">
        <f t="shared" si="1"/>
        <v>-0.2867030563621884</v>
      </c>
      <c r="G7" s="13">
        <f t="shared" si="2"/>
        <v>1.2867030563621884</v>
      </c>
      <c r="I7" s="12" t="s">
        <v>419</v>
      </c>
      <c r="J7" s="13">
        <f>AVERAGE(DT!M4:M1004)</f>
        <v>0.85</v>
      </c>
      <c r="K7" s="13">
        <f>STDEV(DT!M4:M1004)</f>
        <v>0.57975090436420285</v>
      </c>
      <c r="L7" s="7">
        <f>L6</f>
        <v>10</v>
      </c>
      <c r="M7" s="13">
        <f t="shared" si="3"/>
        <v>0.35932673049900982</v>
      </c>
      <c r="N7" s="13">
        <f t="shared" si="4"/>
        <v>0.49067326950099016</v>
      </c>
      <c r="O7" s="13">
        <f t="shared" si="5"/>
        <v>1.2093267304990098</v>
      </c>
    </row>
    <row r="8" spans="1:15" x14ac:dyDescent="0.3">
      <c r="A8" s="14">
        <v>4</v>
      </c>
      <c r="B8" s="13">
        <f>Results!B7</f>
        <v>1</v>
      </c>
      <c r="C8" s="13">
        <f>Results!D7</f>
        <v>0.47140452079103168</v>
      </c>
      <c r="D8" s="7">
        <f>Results!E7</f>
        <v>10</v>
      </c>
      <c r="E8" s="13">
        <f t="shared" si="0"/>
        <v>0.29217418019219377</v>
      </c>
      <c r="F8" s="13">
        <f t="shared" si="1"/>
        <v>0.70782581980780623</v>
      </c>
      <c r="G8" s="13">
        <f t="shared" si="2"/>
        <v>1.2921741801921938</v>
      </c>
      <c r="I8" s="55"/>
      <c r="J8" s="47"/>
      <c r="K8" s="47"/>
      <c r="L8" s="56"/>
      <c r="M8" s="47"/>
      <c r="N8" s="47"/>
      <c r="O8" s="47"/>
    </row>
    <row r="9" spans="1:15" x14ac:dyDescent="0.3">
      <c r="A9" s="14">
        <v>5</v>
      </c>
      <c r="B9" s="13">
        <f>Results!B8</f>
        <v>0.3</v>
      </c>
      <c r="C9" s="13">
        <f>Results!D8</f>
        <v>1.3374935098492586</v>
      </c>
      <c r="D9" s="7">
        <f>Results!E8</f>
        <v>10</v>
      </c>
      <c r="E9" s="13">
        <f t="shared" si="0"/>
        <v>0.82897183314416245</v>
      </c>
      <c r="F9" s="13">
        <f t="shared" si="1"/>
        <v>-0.52897183314416241</v>
      </c>
      <c r="G9" s="13">
        <f t="shared" si="2"/>
        <v>1.1289718331441625</v>
      </c>
      <c r="I9" s="55"/>
      <c r="J9" s="47"/>
      <c r="K9" s="47"/>
      <c r="L9" s="56"/>
      <c r="M9" s="47"/>
      <c r="N9" s="47"/>
      <c r="O9" s="47"/>
    </row>
    <row r="10" spans="1:15" x14ac:dyDescent="0.3">
      <c r="A10" s="14">
        <v>6</v>
      </c>
      <c r="B10" s="13">
        <f>Results!B9</f>
        <v>0.8</v>
      </c>
      <c r="C10" s="13">
        <f>Results!D9</f>
        <v>1.2292725943057183</v>
      </c>
      <c r="D10" s="7">
        <f>Results!E9</f>
        <v>10</v>
      </c>
      <c r="E10" s="13">
        <f t="shared" si="0"/>
        <v>0.76189704729882468</v>
      </c>
      <c r="F10" s="13">
        <f t="shared" si="1"/>
        <v>3.8102952701175363E-2</v>
      </c>
      <c r="G10" s="13">
        <f t="shared" si="2"/>
        <v>1.5618970472988247</v>
      </c>
      <c r="I10" s="24"/>
      <c r="J10" s="47"/>
      <c r="K10" s="47"/>
      <c r="L10" s="56"/>
      <c r="M10" s="47"/>
      <c r="N10" s="47"/>
      <c r="O10" s="47"/>
    </row>
    <row r="11" spans="1:15" x14ac:dyDescent="0.3">
      <c r="A11" s="14">
        <v>7</v>
      </c>
      <c r="B11" s="13">
        <f>Results!B10</f>
        <v>0.7</v>
      </c>
      <c r="C11" s="13">
        <f>Results!D10</f>
        <v>0.94868329805051377</v>
      </c>
      <c r="D11" s="7">
        <f>Results!E10</f>
        <v>10</v>
      </c>
      <c r="E11" s="13">
        <f t="shared" si="0"/>
        <v>0.5879891953620161</v>
      </c>
      <c r="F11" s="13">
        <f t="shared" si="1"/>
        <v>0.11201080463798385</v>
      </c>
      <c r="G11" s="13">
        <f t="shared" si="2"/>
        <v>1.2879891953620159</v>
      </c>
    </row>
    <row r="12" spans="1:15" x14ac:dyDescent="0.3">
      <c r="A12" s="14">
        <v>8</v>
      </c>
      <c r="B12" s="13">
        <f>Results!B11</f>
        <v>0.6</v>
      </c>
      <c r="C12" s="13">
        <f>Results!D11</f>
        <v>0.84327404271156781</v>
      </c>
      <c r="D12" s="7">
        <f>Results!E11</f>
        <v>10</v>
      </c>
      <c r="E12" s="13">
        <f t="shared" si="0"/>
        <v>0.52265706254401434</v>
      </c>
      <c r="F12" s="13">
        <f t="shared" si="1"/>
        <v>7.7342937455985639E-2</v>
      </c>
      <c r="G12" s="13">
        <f t="shared" si="2"/>
        <v>1.1226570625440142</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6" t="s">
        <v>261</v>
      </c>
      <c r="B1" s="78"/>
      <c r="C1" s="78"/>
      <c r="D1" s="78"/>
      <c r="E1" s="78"/>
      <c r="F1" s="78"/>
      <c r="G1" s="78"/>
      <c r="H1" s="78"/>
      <c r="I1" s="78"/>
      <c r="J1" s="78"/>
      <c r="K1" s="78"/>
      <c r="L1" s="78"/>
      <c r="M1" s="78"/>
      <c r="N1" s="78"/>
      <c r="O1" s="78"/>
      <c r="P1" s="78"/>
      <c r="Q1" s="78"/>
      <c r="R1" s="78"/>
    </row>
    <row r="3" spans="1:18" x14ac:dyDescent="0.3">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f>CORREL(DT!A4:A1004,DT!B4:B1004)</f>
        <v>0.21561912179189344</v>
      </c>
      <c r="G5" s="38">
        <v>5.6</v>
      </c>
      <c r="H5" s="39">
        <f>CORREL(DT!E4:E1004,DT!F4:F1004)</f>
        <v>0.51360731450315578</v>
      </c>
      <c r="J5" s="44"/>
      <c r="K5" s="44"/>
      <c r="L5" s="44"/>
      <c r="M5" s="44"/>
      <c r="N5" s="44"/>
      <c r="O5" s="44"/>
      <c r="P5" s="44"/>
      <c r="Q5" s="44"/>
    </row>
    <row r="6" spans="1:18" x14ac:dyDescent="0.3">
      <c r="A6" s="44"/>
      <c r="B6" s="44"/>
      <c r="D6" s="38">
        <v>1.3</v>
      </c>
      <c r="E6" s="39">
        <f>CORREL(DT!A4:A1004,DT!C4:C1004)</f>
        <v>9.9975009371095463E-2</v>
      </c>
      <c r="G6" s="38">
        <v>5.7</v>
      </c>
      <c r="H6" s="39">
        <f>CORREL(DT!E4:E1004,DT!G4:G1004)</f>
        <v>0.60421797811664391</v>
      </c>
      <c r="J6" s="44"/>
      <c r="K6" s="44"/>
      <c r="L6" s="44"/>
      <c r="M6" s="44"/>
      <c r="N6" s="44"/>
      <c r="O6" s="44"/>
      <c r="P6" s="44"/>
      <c r="Q6" s="44"/>
    </row>
    <row r="7" spans="1:18" x14ac:dyDescent="0.3">
      <c r="A7" s="44"/>
      <c r="B7" s="44"/>
      <c r="D7" s="38">
        <v>1.4</v>
      </c>
      <c r="E7" s="39">
        <f>CORREL(DT!A4:A1004,DT!D4:D1004)</f>
        <v>0</v>
      </c>
      <c r="G7" s="38">
        <v>5.8</v>
      </c>
      <c r="H7" s="39">
        <f>CORREL(DT!E4:E1004,DT!H4:H1004)</f>
        <v>0.3152441624956403</v>
      </c>
      <c r="J7" s="44"/>
      <c r="K7" s="44"/>
      <c r="L7" s="44"/>
      <c r="M7" s="44"/>
      <c r="N7" s="44"/>
      <c r="O7" s="44"/>
      <c r="P7" s="44"/>
      <c r="Q7" s="44"/>
    </row>
    <row r="8" spans="1:18" x14ac:dyDescent="0.3">
      <c r="A8" s="44"/>
      <c r="B8" s="44"/>
      <c r="D8" s="38">
        <v>2.2999999999999998</v>
      </c>
      <c r="E8" s="39">
        <f>CORREL(DT!B4:B1004,DT!C4:C1004)</f>
        <v>0.12395001139995855</v>
      </c>
      <c r="G8" s="38">
        <v>6.7</v>
      </c>
      <c r="H8" s="39">
        <f>CORREL(DT!F4:F1004,DT!G4:G1004)</f>
        <v>0.51449575542752657</v>
      </c>
      <c r="J8" s="44"/>
      <c r="K8" s="44"/>
      <c r="L8" s="44"/>
      <c r="M8" s="44"/>
      <c r="N8" s="44"/>
      <c r="O8" s="44"/>
      <c r="P8" s="44"/>
      <c r="Q8" s="44"/>
    </row>
    <row r="9" spans="1:18" x14ac:dyDescent="0.3">
      <c r="A9" s="44"/>
      <c r="B9" s="44"/>
      <c r="D9" s="38">
        <v>2.4</v>
      </c>
      <c r="E9" s="39">
        <f>CORREL(DT!B4:B1004,DT!D4:D1004)</f>
        <v>0</v>
      </c>
      <c r="G9" s="38">
        <v>6.8</v>
      </c>
      <c r="H9" s="39">
        <f>CORREL(DT!F4:F1004,DT!H4:H1004)</f>
        <v>0.12862393885688167</v>
      </c>
      <c r="J9" s="44"/>
      <c r="K9" s="44"/>
      <c r="L9" s="44"/>
      <c r="M9" s="44"/>
      <c r="N9" s="44"/>
      <c r="O9" s="44"/>
      <c r="P9" s="44"/>
      <c r="Q9" s="44"/>
    </row>
    <row r="10" spans="1:18" x14ac:dyDescent="0.3">
      <c r="A10" s="44"/>
      <c r="B10" s="44"/>
      <c r="D10" s="38">
        <v>3.4</v>
      </c>
      <c r="E10" s="39">
        <f>CORREL(DT!C4:C1004,DT!D4:D1004)</f>
        <v>0</v>
      </c>
      <c r="G10" s="38">
        <v>7.8</v>
      </c>
      <c r="H10" s="39">
        <f>CORREL(DT!G4:G1004,DT!H4:H1004)</f>
        <v>0.11111111111111113</v>
      </c>
      <c r="J10" s="44"/>
      <c r="K10" s="44"/>
      <c r="L10" s="44"/>
      <c r="M10" s="44"/>
      <c r="N10" s="44"/>
      <c r="O10" s="44"/>
      <c r="P10" s="44"/>
      <c r="Q10" s="44"/>
    </row>
    <row r="11" spans="1:18" x14ac:dyDescent="0.3">
      <c r="A11" s="44"/>
      <c r="B11" s="44"/>
      <c r="D11" s="40" t="s">
        <v>266</v>
      </c>
      <c r="E11" s="39">
        <f>AVERAGE(E5:E10)</f>
        <v>7.3257357093824568E-2</v>
      </c>
      <c r="G11" s="40" t="s">
        <v>266</v>
      </c>
      <c r="H11" s="39">
        <f>AVERAGE(H5:H10)</f>
        <v>0.36455004341849323</v>
      </c>
      <c r="J11" s="44"/>
      <c r="K11" s="44"/>
      <c r="L11" s="44"/>
      <c r="M11" s="44"/>
      <c r="N11" s="44"/>
      <c r="O11" s="44"/>
      <c r="P11" s="44"/>
      <c r="Q11" s="44"/>
    </row>
    <row r="12" spans="1:18" x14ac:dyDescent="0.3">
      <c r="A12" s="44"/>
      <c r="B12" s="44"/>
      <c r="C12" s="11"/>
      <c r="D12" s="41" t="s">
        <v>3</v>
      </c>
      <c r="E12" s="42">
        <f>(4*E11)/(1+(3*E11))</f>
        <v>0.24023293800082346</v>
      </c>
      <c r="F12" s="11"/>
      <c r="G12" s="41" t="s">
        <v>3</v>
      </c>
      <c r="H12" s="42">
        <f>(4*H11)/(1+(3*H11))</f>
        <v>0.69648703601495954</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baseColWidth="10"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79" t="s">
        <v>691</v>
      </c>
      <c r="B1" s="80"/>
      <c r="C1" s="80"/>
      <c r="D1" s="80"/>
      <c r="E1" s="80"/>
      <c r="F1" s="80"/>
      <c r="G1" s="80"/>
      <c r="H1" s="80"/>
    </row>
    <row r="3" spans="1:8" x14ac:dyDescent="0.3">
      <c r="A3" s="34" t="s">
        <v>25</v>
      </c>
      <c r="B3" s="34" t="s">
        <v>21</v>
      </c>
      <c r="C3" s="34" t="s">
        <v>32</v>
      </c>
      <c r="D3" s="34" t="s">
        <v>33</v>
      </c>
    </row>
    <row r="4" spans="1:8" x14ac:dyDescent="0.3">
      <c r="A4" s="18" t="str">
        <f>VLOOKUP(Read_First!B4,Items!A1:S50,18,FALSE)</f>
        <v>Pragmatic Quality</v>
      </c>
      <c r="B4" s="17">
        <f>Results!L4</f>
        <v>1.1000000000000001</v>
      </c>
      <c r="C4" s="16" t="str">
        <f>IF(B4&gt;E32,"Excellent",IF(B4&gt;D32,"Good",IF(B4&gt;C32,"Above average",IF(B4&gt;B32,"Below average","Bad"))))</f>
        <v>Below average</v>
      </c>
      <c r="D4" s="15"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3">
      <c r="A5" s="18" t="str">
        <f>VLOOKUP(Read_First!B4,Items!A1:S50,19,FALSE)</f>
        <v>Hedonic Quality</v>
      </c>
      <c r="B5" s="17">
        <f>Results!L5</f>
        <v>0.6</v>
      </c>
      <c r="C5" s="16" t="str">
        <f>IF(B5&gt;E33,"Excellent",IF(B5&gt;D33,"Good",IF(B5&gt;C33,"Above Average",IF(B5&gt;B33,"Below Average","Bad"))))</f>
        <v>Below Average</v>
      </c>
      <c r="D5" s="1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3">
      <c r="A6" s="18" t="s">
        <v>419</v>
      </c>
      <c r="B6" s="57">
        <f>Results!L6</f>
        <v>0.85</v>
      </c>
      <c r="C6" s="16" t="str">
        <f>IF(B6&gt;E34,"Excellent",IF(B6&gt;D34,"Good",IF(B6&gt;C34,"Above Average",IF(B6&gt;B34,"Below Average","Bad"))))</f>
        <v>Below Average</v>
      </c>
      <c r="D6" s="15"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3">
      <c r="A24" s="81" t="s">
        <v>262</v>
      </c>
      <c r="B24" s="81"/>
      <c r="C24" s="81"/>
      <c r="D24" s="81"/>
      <c r="E24" s="81"/>
      <c r="F24" s="81"/>
      <c r="G24" s="81"/>
      <c r="H24" s="81"/>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f>Results!L4</f>
        <v>1.1000000000000001</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f>Results!L5</f>
        <v>0.6</v>
      </c>
    </row>
    <row r="28" spans="1:8" x14ac:dyDescent="0.3">
      <c r="A28" s="18" t="s">
        <v>419</v>
      </c>
      <c r="B28" s="31">
        <v>-1</v>
      </c>
      <c r="C28" s="32">
        <f>B34</f>
        <v>0.59</v>
      </c>
      <c r="D28" s="32">
        <f t="shared" si="0"/>
        <v>0.39</v>
      </c>
      <c r="E28" s="32">
        <f t="shared" si="0"/>
        <v>0.33000000000000007</v>
      </c>
      <c r="F28" s="32">
        <f t="shared" si="0"/>
        <v>0.27</v>
      </c>
      <c r="G28" s="32">
        <f>2.5-E34</f>
        <v>0.91999999999999993</v>
      </c>
      <c r="H28" s="58">
        <f>Results!L6</f>
        <v>0.85</v>
      </c>
    </row>
    <row r="30" spans="1:8" x14ac:dyDescent="0.3">
      <c r="A30" s="81" t="s">
        <v>694</v>
      </c>
      <c r="B30" s="81"/>
      <c r="C30" s="81"/>
      <c r="D30" s="81"/>
      <c r="E30" s="81"/>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09375" defaultRowHeight="14.4" x14ac:dyDescent="0.3"/>
  <cols>
    <col min="1" max="8" width="8.77734375" style="2" customWidth="1"/>
    <col min="11" max="12" width="18.6640625" style="2" customWidth="1"/>
    <col min="13" max="13" width="9.109375" style="2"/>
  </cols>
  <sheetData>
    <row r="1" spans="1:13" ht="215.4" customHeight="1" x14ac:dyDescent="0.3">
      <c r="A1" s="67" t="s">
        <v>424</v>
      </c>
      <c r="B1" s="68"/>
      <c r="C1" s="68"/>
      <c r="D1" s="68"/>
      <c r="E1" s="68"/>
      <c r="F1" s="68"/>
      <c r="G1" s="68"/>
      <c r="H1" s="68"/>
      <c r="K1" s="35"/>
      <c r="L1" s="36"/>
      <c r="M1" s="2" t="s">
        <v>265</v>
      </c>
    </row>
    <row r="2" spans="1:13" x14ac:dyDescent="0.3">
      <c r="A2" s="69" t="s">
        <v>0</v>
      </c>
      <c r="B2" s="69"/>
      <c r="C2" s="69"/>
      <c r="D2" s="69"/>
      <c r="E2" s="69"/>
      <c r="F2" s="69"/>
      <c r="G2" s="69"/>
      <c r="H2" s="69"/>
      <c r="K2" s="69" t="s">
        <v>263</v>
      </c>
      <c r="L2" s="69"/>
      <c r="M2" s="69"/>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f>IF(Data!A4&gt;0,Data!A4-4,"")</f>
        <v>-3</v>
      </c>
      <c r="B4" s="2">
        <f>IF(Data!B4&gt;0,Data!B4-4,"")</f>
        <v>2</v>
      </c>
      <c r="C4" s="2">
        <f>IF(Data!C4&gt;0,Data!C4-4,"")</f>
        <v>0</v>
      </c>
      <c r="D4" s="2">
        <f>IF(Data!D4&gt;0,Data!D4-4,"")</f>
        <v>1</v>
      </c>
      <c r="E4" s="2">
        <f>IF(Data!E4&gt;0,Data!E4-4,"")</f>
        <v>-1</v>
      </c>
      <c r="F4" s="2">
        <f>IF(Data!F4&gt;0,Data!F4-4,"")</f>
        <v>0</v>
      </c>
      <c r="G4" s="2">
        <f>IF(Data!G4&gt;0,Data!G4-4,"")</f>
        <v>-1</v>
      </c>
      <c r="H4" s="2">
        <f>IF(Data!H4&gt;0,Data!H4-4,"")</f>
        <v>1</v>
      </c>
      <c r="K4" s="7">
        <f>IF((MAX(A4,B4,C4,D4)-MIN(A4,B4,C4,D4))&gt;3,1,"")</f>
        <v>1</v>
      </c>
      <c r="L4" s="7" t="str">
        <f>IF((MAX(E4,F4,G4,H4)-MIN(E4,F4,G4,H4))&gt;3,1,"")</f>
        <v/>
      </c>
      <c r="M4" s="4">
        <f>IF(COUNT(A4:D4)&gt;0,IF(COUNT(E4:H4)&gt;0,SUM(K4,L4),0),"")</f>
        <v>1</v>
      </c>
    </row>
    <row r="5" spans="1:13" x14ac:dyDescent="0.3">
      <c r="A5" s="2">
        <f>IF(Data!A5&gt;0,Data!A5-4,"")</f>
        <v>1</v>
      </c>
      <c r="B5" s="2">
        <f>IF(Data!B5&gt;0,Data!B5-4,"")</f>
        <v>1</v>
      </c>
      <c r="C5" s="2">
        <f>IF(Data!C5&gt;0,Data!C5-4,"")</f>
        <v>0</v>
      </c>
      <c r="D5" s="2">
        <f>IF(Data!D5&gt;0,Data!D5-4,"")</f>
        <v>1</v>
      </c>
      <c r="E5" s="2">
        <f>IF(Data!E5&gt;0,Data!E5-4,"")</f>
        <v>-2</v>
      </c>
      <c r="F5" s="2">
        <f>IF(Data!F5&gt;0,Data!F5-4,"")</f>
        <v>-1</v>
      </c>
      <c r="G5" s="2">
        <f>IF(Data!G5&gt;0,Data!G5-4,"")</f>
        <v>0</v>
      </c>
      <c r="H5" s="2">
        <f>IF(Data!H5&gt;0,Data!H5-4,"")</f>
        <v>1</v>
      </c>
      <c r="K5" s="7" t="str">
        <f t="shared" ref="K5:K68" si="0">IF((MAX(A5,B5,C5,D5)-MIN(A5,B5,C5,D5))&gt;3,1,"")</f>
        <v/>
      </c>
      <c r="L5" s="7" t="str">
        <f t="shared" ref="L5:L68" si="1">IF((MAX(E5,F5,G5,H5)-MIN(E5,F5,G5,H5))&gt;3,1,"")</f>
        <v/>
      </c>
      <c r="M5" s="4">
        <f t="shared" ref="M5:M68" si="2">IF(COUNT(A5:D5)&gt;0,IF(COUNT(E5:H5)&gt;0,SUM(K5,L5),0),"")</f>
        <v>0</v>
      </c>
    </row>
    <row r="6" spans="1:13" x14ac:dyDescent="0.3">
      <c r="A6" s="2">
        <f>IF(Data!A6&gt;0,Data!A6-4,"")</f>
        <v>2</v>
      </c>
      <c r="B6" s="2">
        <f>IF(Data!B6&gt;0,Data!B6-4,"")</f>
        <v>3</v>
      </c>
      <c r="C6" s="2">
        <f>IF(Data!C6&gt;0,Data!C6-4,"")</f>
        <v>-2</v>
      </c>
      <c r="D6" s="2">
        <f>IF(Data!D6&gt;0,Data!D6-4,"")</f>
        <v>1</v>
      </c>
      <c r="E6" s="2">
        <f>IF(Data!E6&gt;0,Data!E6-4,"")</f>
        <v>1</v>
      </c>
      <c r="F6" s="2">
        <f>IF(Data!F6&gt;0,Data!F6-4,"")</f>
        <v>2</v>
      </c>
      <c r="G6" s="2">
        <f>IF(Data!G6&gt;0,Data!G6-4,"")</f>
        <v>1</v>
      </c>
      <c r="H6" s="2">
        <f>IF(Data!H6&gt;0,Data!H6-4,"")</f>
        <v>0</v>
      </c>
      <c r="K6" s="7">
        <f t="shared" si="0"/>
        <v>1</v>
      </c>
      <c r="L6" s="7" t="str">
        <f t="shared" si="1"/>
        <v/>
      </c>
      <c r="M6" s="4">
        <f t="shared" si="2"/>
        <v>1</v>
      </c>
    </row>
    <row r="7" spans="1:13" x14ac:dyDescent="0.3">
      <c r="A7" s="2">
        <f>IF(Data!A7&gt;0,Data!A7-4,"")</f>
        <v>1</v>
      </c>
      <c r="B7" s="2">
        <f>IF(Data!B7&gt;0,Data!B7-4,"")</f>
        <v>2</v>
      </c>
      <c r="C7" s="2">
        <f>IF(Data!C7&gt;0,Data!C7-4,"")</f>
        <v>2</v>
      </c>
      <c r="D7" s="2">
        <f>IF(Data!D7&gt;0,Data!D7-4,"")</f>
        <v>0</v>
      </c>
      <c r="E7" s="2">
        <f>IF(Data!E7&gt;0,Data!E7-4,"")</f>
        <v>0</v>
      </c>
      <c r="F7" s="2">
        <f>IF(Data!F7&gt;0,Data!F7-4,"")</f>
        <v>2</v>
      </c>
      <c r="G7" s="2">
        <f>IF(Data!G7&gt;0,Data!G7-4,"")</f>
        <v>2</v>
      </c>
      <c r="H7" s="2">
        <f>IF(Data!H7&gt;0,Data!H7-4,"")</f>
        <v>0</v>
      </c>
      <c r="K7" s="7" t="str">
        <f t="shared" si="0"/>
        <v/>
      </c>
      <c r="L7" s="7" t="str">
        <f t="shared" si="1"/>
        <v/>
      </c>
      <c r="M7" s="4">
        <f t="shared" si="2"/>
        <v>0</v>
      </c>
    </row>
    <row r="8" spans="1:13" x14ac:dyDescent="0.3">
      <c r="A8" s="2">
        <f>IF(Data!A8&gt;0,Data!A8-4,"")</f>
        <v>0</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row>
    <row r="9" spans="1:13" x14ac:dyDescent="0.3">
      <c r="A9" s="2">
        <f>IF(Data!A9&gt;0,Data!A9-4,"")</f>
        <v>2</v>
      </c>
      <c r="B9" s="2">
        <f>IF(Data!B9&gt;0,Data!B9-4,"")</f>
        <v>0</v>
      </c>
      <c r="C9" s="2">
        <f>IF(Data!C9&gt;0,Data!C9-4,"")</f>
        <v>0</v>
      </c>
      <c r="D9" s="2">
        <f>IF(Data!D9&gt;0,Data!D9-4,"")</f>
        <v>1</v>
      </c>
      <c r="E9" s="2">
        <f>IF(Data!E9&gt;0,Data!E9-4,"")</f>
        <v>2</v>
      </c>
      <c r="F9" s="2">
        <f>IF(Data!F9&gt;0,Data!F9-4,"")</f>
        <v>2</v>
      </c>
      <c r="G9" s="2">
        <f>IF(Data!G9&gt;0,Data!G9-4,"")</f>
        <v>1</v>
      </c>
      <c r="H9" s="2">
        <f>IF(Data!H9&gt;0,Data!H9-4,"")</f>
        <v>1</v>
      </c>
      <c r="K9" s="7" t="str">
        <f t="shared" si="0"/>
        <v/>
      </c>
      <c r="L9" s="7" t="str">
        <f t="shared" si="1"/>
        <v/>
      </c>
      <c r="M9" s="4">
        <f t="shared" si="2"/>
        <v>0</v>
      </c>
    </row>
    <row r="10" spans="1:13" x14ac:dyDescent="0.3">
      <c r="A10" s="2">
        <f>IF(Data!A10&gt;0,Data!A10-4,"")</f>
        <v>1</v>
      </c>
      <c r="B10" s="2">
        <f>IF(Data!B10&gt;0,Data!B10-4,"")</f>
        <v>2</v>
      </c>
      <c r="C10" s="2">
        <f>IF(Data!C10&gt;0,Data!C10-4,"")</f>
        <v>2</v>
      </c>
      <c r="D10" s="2">
        <f>IF(Data!D10&gt;0,Data!D10-4,"")</f>
        <v>2</v>
      </c>
      <c r="E10" s="2">
        <f>IF(Data!E10&gt;0,Data!E10-4,"")</f>
        <v>-1</v>
      </c>
      <c r="F10" s="2">
        <f>IF(Data!F10&gt;0,Data!F10-4,"")</f>
        <v>0</v>
      </c>
      <c r="G10" s="2">
        <f>IF(Data!G10&gt;0,Data!G10-4,"")</f>
        <v>0</v>
      </c>
      <c r="H10" s="2">
        <f>IF(Data!H10&gt;0,Data!H10-4,"")</f>
        <v>-1</v>
      </c>
      <c r="K10" s="7" t="str">
        <f t="shared" si="0"/>
        <v/>
      </c>
      <c r="L10" s="7" t="str">
        <f t="shared" si="1"/>
        <v/>
      </c>
      <c r="M10" s="4">
        <f t="shared" si="2"/>
        <v>0</v>
      </c>
    </row>
    <row r="11" spans="1:13" x14ac:dyDescent="0.3">
      <c r="A11" s="2">
        <f>IF(Data!A11&gt;0,Data!A11-4,"")</f>
        <v>3</v>
      </c>
      <c r="B11" s="2">
        <f>IF(Data!B11&gt;0,Data!B11-4,"")</f>
        <v>2</v>
      </c>
      <c r="C11" s="2">
        <f>IF(Data!C11&gt;0,Data!C11-4,"")</f>
        <v>0</v>
      </c>
      <c r="D11" s="2">
        <f>IF(Data!D11&gt;0,Data!D11-4,"")</f>
        <v>1</v>
      </c>
      <c r="E11" s="2">
        <f>IF(Data!E11&gt;0,Data!E11-4,"")</f>
        <v>1</v>
      </c>
      <c r="F11" s="2">
        <f>IF(Data!F11&gt;0,Data!F11-4,"")</f>
        <v>-1</v>
      </c>
      <c r="G11" s="2">
        <f>IF(Data!G11&gt;0,Data!G11-4,"")</f>
        <v>1</v>
      </c>
      <c r="H11" s="2">
        <f>IF(Data!H11&gt;0,Data!H11-4,"")</f>
        <v>0</v>
      </c>
      <c r="K11" s="7" t="str">
        <f t="shared" si="0"/>
        <v/>
      </c>
      <c r="L11" s="7" t="str">
        <f t="shared" si="1"/>
        <v/>
      </c>
      <c r="M11" s="4">
        <f t="shared" si="2"/>
        <v>0</v>
      </c>
    </row>
    <row r="12" spans="1:13" x14ac:dyDescent="0.3">
      <c r="A12" s="2">
        <f>IF(Data!A12&gt;0,Data!A12-4,"")</f>
        <v>3</v>
      </c>
      <c r="B12" s="2">
        <f>IF(Data!B12&gt;0,Data!B12-4,"")</f>
        <v>3</v>
      </c>
      <c r="C12" s="2">
        <f>IF(Data!C12&gt;0,Data!C12-4,"")</f>
        <v>2</v>
      </c>
      <c r="D12" s="2">
        <f>IF(Data!D12&gt;0,Data!D12-4,"")</f>
        <v>1</v>
      </c>
      <c r="E12" s="2">
        <f>IF(Data!E12&gt;0,Data!E12-4,"")</f>
        <v>0</v>
      </c>
      <c r="F12" s="2">
        <f>IF(Data!F12&gt;0,Data!F12-4,"")</f>
        <v>2</v>
      </c>
      <c r="G12" s="2">
        <f>IF(Data!G12&gt;0,Data!G12-4,"")</f>
        <v>1</v>
      </c>
      <c r="H12" s="2">
        <f>IF(Data!H12&gt;0,Data!H12-4,"")</f>
        <v>1</v>
      </c>
      <c r="K12" s="7" t="str">
        <f t="shared" si="0"/>
        <v/>
      </c>
      <c r="L12" s="7" t="str">
        <f t="shared" si="1"/>
        <v/>
      </c>
      <c r="M12" s="4">
        <f t="shared" si="2"/>
        <v>0</v>
      </c>
    </row>
    <row r="13" spans="1:13" x14ac:dyDescent="0.3">
      <c r="A13" s="2">
        <f>IF(Data!A13&gt;0,Data!A13-4,"")</f>
        <v>2</v>
      </c>
      <c r="B13" s="2">
        <f>IF(Data!B13&gt;0,Data!B13-4,"")</f>
        <v>2</v>
      </c>
      <c r="C13" s="2">
        <f>IF(Data!C13&gt;0,Data!C13-4,"")</f>
        <v>1</v>
      </c>
      <c r="D13" s="2">
        <f>IF(Data!D13&gt;0,Data!D13-4,"")</f>
        <v>1</v>
      </c>
      <c r="E13" s="2">
        <f>IF(Data!E13&gt;0,Data!E13-4,"")</f>
        <v>2</v>
      </c>
      <c r="F13" s="2">
        <f>IF(Data!F13&gt;0,Data!F13-4,"")</f>
        <v>1</v>
      </c>
      <c r="G13" s="2">
        <f>IF(Data!G13&gt;0,Data!G13-4,"")</f>
        <v>2</v>
      </c>
      <c r="H13" s="2">
        <f>IF(Data!H13&gt;0,Data!H13-4,"")</f>
        <v>2</v>
      </c>
      <c r="K13" s="7" t="str">
        <f t="shared" si="0"/>
        <v/>
      </c>
      <c r="L13" s="7" t="str">
        <f t="shared" si="1"/>
        <v/>
      </c>
      <c r="M13" s="4">
        <f t="shared" si="2"/>
        <v>0</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baseColWidth="10"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5.6" x14ac:dyDescent="0.3">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Maxime DANIEL</cp:lastModifiedBy>
  <dcterms:created xsi:type="dcterms:W3CDTF">2012-03-20T13:56:56Z</dcterms:created>
  <dcterms:modified xsi:type="dcterms:W3CDTF">2022-05-11T07:46:01Z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