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--dev\Martin Shkreli Lessons\models\"/>
    </mc:Choice>
  </mc:AlternateContent>
  <xr:revisionPtr revIDLastSave="0" documentId="13_ncr:1_{10CDFC3A-4ABA-46D6-B5F6-D9BE6DBA18B8}" xr6:coauthVersionLast="47" xr6:coauthVersionMax="47" xr10:uidLastSave="{00000000-0000-0000-0000-000000000000}"/>
  <bookViews>
    <workbookView xWindow="6330" yWindow="3915" windowWidth="21600" windowHeight="11385" xr2:uid="{7A9C3EC0-D2B8-4F9B-95E7-9A7FD9A9DF0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H8" i="2" s="1"/>
  <c r="M8" i="2"/>
  <c r="M7" i="2"/>
  <c r="M6" i="2"/>
  <c r="M5" i="2"/>
  <c r="K20" i="1"/>
  <c r="Z30" i="1"/>
  <c r="Y30" i="1"/>
  <c r="X30" i="1"/>
  <c r="Z29" i="1"/>
  <c r="Y29" i="1"/>
  <c r="X29" i="1"/>
  <c r="Z28" i="1"/>
  <c r="Y28" i="1"/>
  <c r="X28" i="1"/>
  <c r="Z26" i="1"/>
  <c r="Y26" i="1"/>
  <c r="X26" i="1"/>
  <c r="W30" i="1"/>
  <c r="W29" i="1"/>
  <c r="W28" i="1"/>
  <c r="W26" i="1"/>
  <c r="K30" i="1"/>
  <c r="J30" i="1"/>
  <c r="I30" i="1"/>
  <c r="H30" i="1"/>
  <c r="G30" i="1"/>
  <c r="F30" i="1"/>
  <c r="E30" i="1"/>
  <c r="D30" i="1"/>
  <c r="K26" i="1"/>
  <c r="J26" i="1"/>
  <c r="I26" i="1"/>
  <c r="H26" i="1"/>
  <c r="G26" i="1"/>
  <c r="F26" i="1"/>
  <c r="E26" i="1"/>
  <c r="D26" i="1"/>
  <c r="D29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D28" i="1"/>
  <c r="Z24" i="1"/>
  <c r="Y24" i="1"/>
  <c r="X24" i="1"/>
  <c r="W24" i="1"/>
  <c r="Y18" i="1"/>
  <c r="V18" i="1"/>
  <c r="Z9" i="1"/>
  <c r="Z7" i="1" s="1"/>
  <c r="Z6" i="1"/>
  <c r="Z18" i="1" s="1"/>
  <c r="Y9" i="1"/>
  <c r="Y7" i="1"/>
  <c r="Y6" i="1"/>
  <c r="X9" i="1"/>
  <c r="X7" i="1" s="1"/>
  <c r="X6" i="1"/>
  <c r="X18" i="1" s="1"/>
  <c r="W9" i="1"/>
  <c r="W7" i="1" s="1"/>
  <c r="W6" i="1"/>
  <c r="W18" i="1" s="1"/>
  <c r="V9" i="1"/>
  <c r="V7" i="1"/>
  <c r="V10" i="1" s="1"/>
  <c r="V12" i="1" s="1"/>
  <c r="V14" i="1" s="1"/>
  <c r="V16" i="1" s="1"/>
  <c r="V6" i="1"/>
  <c r="G50" i="1"/>
  <c r="G52" i="1" s="1"/>
  <c r="G37" i="1"/>
  <c r="G45" i="1" s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V3" i="1"/>
  <c r="K52" i="1"/>
  <c r="K50" i="1"/>
  <c r="K36" i="1" s="1"/>
  <c r="K37" i="1"/>
  <c r="K45" i="1" s="1"/>
  <c r="H24" i="1"/>
  <c r="I24" i="1"/>
  <c r="J24" i="1"/>
  <c r="K24" i="1"/>
  <c r="G24" i="1"/>
  <c r="K9" i="1"/>
  <c r="K7" i="1" s="1"/>
  <c r="K10" i="1" s="1"/>
  <c r="K12" i="1" s="1"/>
  <c r="K14" i="1" s="1"/>
  <c r="K16" i="1" s="1"/>
  <c r="K6" i="1"/>
  <c r="J9" i="1"/>
  <c r="J7" i="1" s="1"/>
  <c r="I9" i="1"/>
  <c r="I7" i="1" s="1"/>
  <c r="H9" i="1"/>
  <c r="H7" i="1" s="1"/>
  <c r="G9" i="1"/>
  <c r="G7" i="1" s="1"/>
  <c r="F9" i="1"/>
  <c r="F7" i="1" s="1"/>
  <c r="E9" i="1"/>
  <c r="C18" i="1"/>
  <c r="D9" i="1"/>
  <c r="D7" i="1"/>
  <c r="E7" i="1"/>
  <c r="J6" i="1"/>
  <c r="I6" i="1"/>
  <c r="H6" i="1"/>
  <c r="H18" i="1" s="1"/>
  <c r="G6" i="1"/>
  <c r="F6" i="1"/>
  <c r="F18" i="1" s="1"/>
  <c r="E6" i="1"/>
  <c r="D6" i="1"/>
  <c r="D18" i="1" s="1"/>
  <c r="C9" i="1"/>
  <c r="C7" i="1"/>
  <c r="C10" i="1" s="1"/>
  <c r="C12" i="1" s="1"/>
  <c r="C14" i="1" s="1"/>
  <c r="C16" i="1" s="1"/>
  <c r="C22" i="1" s="1"/>
  <c r="C6" i="1"/>
  <c r="H4" i="2" l="1"/>
  <c r="H5" i="2"/>
  <c r="H2" i="2"/>
  <c r="H6" i="2"/>
  <c r="H3" i="2"/>
  <c r="H7" i="2"/>
  <c r="V19" i="1"/>
  <c r="V20" i="1"/>
  <c r="C20" i="1"/>
  <c r="V21" i="1"/>
  <c r="C19" i="1"/>
  <c r="C21" i="1"/>
  <c r="G53" i="1"/>
  <c r="G54" i="1" s="1"/>
  <c r="Z10" i="1"/>
  <c r="Y10" i="1"/>
  <c r="X10" i="1"/>
  <c r="W10" i="1"/>
  <c r="G36" i="1"/>
  <c r="K53" i="1"/>
  <c r="K54" i="1" s="1"/>
  <c r="K21" i="1"/>
  <c r="K19" i="1"/>
  <c r="K18" i="1"/>
  <c r="J10" i="1"/>
  <c r="J18" i="1"/>
  <c r="I10" i="1"/>
  <c r="I12" i="1" s="1"/>
  <c r="I14" i="1" s="1"/>
  <c r="I16" i="1" s="1"/>
  <c r="I18" i="1"/>
  <c r="G10" i="1"/>
  <c r="G12" i="1" s="1"/>
  <c r="G14" i="1" s="1"/>
  <c r="G16" i="1" s="1"/>
  <c r="G18" i="1"/>
  <c r="F10" i="1"/>
  <c r="F12" i="1" s="1"/>
  <c r="F14" i="1" s="1"/>
  <c r="F16" i="1" s="1"/>
  <c r="E10" i="1"/>
  <c r="E12" i="1" s="1"/>
  <c r="E14" i="1" s="1"/>
  <c r="E16" i="1" s="1"/>
  <c r="E18" i="1"/>
  <c r="D10" i="1"/>
  <c r="H10" i="1"/>
  <c r="J14" i="1" l="1"/>
  <c r="J16" i="1" s="1"/>
  <c r="K22" i="1" s="1"/>
  <c r="J12" i="1"/>
  <c r="X12" i="1"/>
  <c r="X19" i="1"/>
  <c r="D12" i="1"/>
  <c r="D19" i="1"/>
  <c r="Y12" i="1"/>
  <c r="Y19" i="1"/>
  <c r="Z12" i="1"/>
  <c r="Z19" i="1"/>
  <c r="E19" i="1"/>
  <c r="G19" i="1"/>
  <c r="W12" i="1"/>
  <c r="W19" i="1"/>
  <c r="J21" i="1"/>
  <c r="J19" i="1"/>
  <c r="I19" i="1"/>
  <c r="I21" i="1"/>
  <c r="I20" i="1"/>
  <c r="H12" i="1"/>
  <c r="H21" i="1" s="1"/>
  <c r="H19" i="1"/>
  <c r="G22" i="1"/>
  <c r="G20" i="1"/>
  <c r="G21" i="1"/>
  <c r="F20" i="1"/>
  <c r="F21" i="1"/>
  <c r="F19" i="1"/>
  <c r="E21" i="1"/>
  <c r="E20" i="1"/>
  <c r="F22" i="1"/>
  <c r="W14" i="1" l="1"/>
  <c r="W21" i="1"/>
  <c r="Z14" i="1"/>
  <c r="Z21" i="1"/>
  <c r="D14" i="1"/>
  <c r="D21" i="1"/>
  <c r="J20" i="1"/>
  <c r="Y14" i="1"/>
  <c r="Y21" i="1"/>
  <c r="X14" i="1"/>
  <c r="X21" i="1"/>
  <c r="J22" i="1"/>
  <c r="H14" i="1"/>
  <c r="X16" i="1" l="1"/>
  <c r="X20" i="1"/>
  <c r="D16" i="1"/>
  <c r="D20" i="1"/>
  <c r="W16" i="1"/>
  <c r="W22" i="1" s="1"/>
  <c r="W20" i="1"/>
  <c r="Y16" i="1"/>
  <c r="Y20" i="1"/>
  <c r="Z16" i="1"/>
  <c r="Z22" i="1" s="1"/>
  <c r="Z20" i="1"/>
  <c r="H16" i="1"/>
  <c r="H20" i="1"/>
  <c r="X22" i="1" l="1"/>
  <c r="Y22" i="1"/>
  <c r="D22" i="1"/>
  <c r="E22" i="1"/>
  <c r="I22" i="1"/>
  <c r="H22" i="1"/>
</calcChain>
</file>

<file path=xl/sharedStrings.xml><?xml version="1.0" encoding="utf-8"?>
<sst xmlns="http://schemas.openxmlformats.org/spreadsheetml/2006/main" count="88" uniqueCount="84">
  <si>
    <t>Income Statements</t>
  </si>
  <si>
    <t>Revenue</t>
  </si>
  <si>
    <t>COGS</t>
  </si>
  <si>
    <t>Gross profits</t>
  </si>
  <si>
    <t>Operating Expenses</t>
  </si>
  <si>
    <t>R&amp;D</t>
  </si>
  <si>
    <t>SG&amp;A</t>
  </si>
  <si>
    <t>Operating Profits</t>
  </si>
  <si>
    <t>Interest income/expense</t>
  </si>
  <si>
    <t>Pretax Income</t>
  </si>
  <si>
    <t>Taxes</t>
  </si>
  <si>
    <t>Net Income</t>
  </si>
  <si>
    <t>Shares</t>
  </si>
  <si>
    <t>EPS</t>
  </si>
  <si>
    <t>Gross Margin %</t>
  </si>
  <si>
    <t>Net Margin %</t>
  </si>
  <si>
    <t>Operating Margin %</t>
  </si>
  <si>
    <t>Tax Rate %</t>
  </si>
  <si>
    <t>EPS Growth %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</si>
  <si>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</si>
  <si>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</si>
  <si>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</si>
  <si>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</si>
  <si>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</si>
  <si>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</si>
  <si>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</si>
  <si>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</si>
  <si>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</si>
  <si>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</si>
  <si>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</si>
  <si>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</si>
  <si>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</si>
  <si>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</si>
  <si>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</si>
  <si>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Revenue Y/Y</t>
  </si>
  <si>
    <t>Balance Sheet</t>
  </si>
  <si>
    <t>Net Cash</t>
  </si>
  <si>
    <t>Cash</t>
  </si>
  <si>
    <t>A/R</t>
  </si>
  <si>
    <t>Inventories</t>
  </si>
  <si>
    <t>Vendor NTR</t>
  </si>
  <si>
    <t>OCA</t>
  </si>
  <si>
    <t>PP&amp;E</t>
  </si>
  <si>
    <t>Goodiwll+Intangibles</t>
  </si>
  <si>
    <t>ONCA</t>
  </si>
  <si>
    <t>Assets</t>
  </si>
  <si>
    <t>A/P</t>
  </si>
  <si>
    <t>OCL</t>
  </si>
  <si>
    <t>D/R</t>
  </si>
  <si>
    <t>Debt</t>
  </si>
  <si>
    <t>ONCL</t>
  </si>
  <si>
    <t>Liabilities</t>
  </si>
  <si>
    <t>S/E</t>
  </si>
  <si>
    <t>L+S/E</t>
  </si>
  <si>
    <t>RE-DO THIS</t>
  </si>
  <si>
    <t>COGS Y/Y</t>
  </si>
  <si>
    <t xml:space="preserve">  R&amp;D</t>
  </si>
  <si>
    <t xml:space="preserve">  SG&amp;A</t>
  </si>
  <si>
    <t>Net Income Y/Y</t>
  </si>
  <si>
    <t>Price</t>
  </si>
  <si>
    <t>MC</t>
  </si>
  <si>
    <t>EV</t>
  </si>
  <si>
    <t>10-K</t>
  </si>
  <si>
    <t>Revenue Streams</t>
  </si>
  <si>
    <t>Segment Analysis</t>
  </si>
  <si>
    <t>Properties</t>
  </si>
  <si>
    <t>Office Space</t>
  </si>
  <si>
    <t>Leased</t>
  </si>
  <si>
    <t>Owned</t>
  </si>
  <si>
    <t>57366m2</t>
  </si>
  <si>
    <t>4080m2</t>
  </si>
  <si>
    <t>North America Retail &amp; Subscriptions</t>
  </si>
  <si>
    <t>International Retail &amp; Subscriptions</t>
  </si>
  <si>
    <t>AWS - compute, storage, db, etc</t>
  </si>
  <si>
    <t>Total</t>
  </si>
  <si>
    <t xml:space="preserve">  Online Stores</t>
  </si>
  <si>
    <t xml:space="preserve">  Physical Stores</t>
  </si>
  <si>
    <t xml:space="preserve">  Third-party sellers services</t>
  </si>
  <si>
    <t xml:space="preserve">  Subscription  services</t>
  </si>
  <si>
    <t xml:space="preserve">  Advertising services</t>
  </si>
  <si>
    <t xml:space="preserve">  AWS</t>
  </si>
  <si>
    <t xml:space="preserve">  other</t>
  </si>
  <si>
    <t>%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</si>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</sst>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3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1" applyFont="1" applyBorder="1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9" fontId="0" fillId="0" borderId="1" xfId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3" fontId="3" fillId="0" borderId="0" xfId="0" applyNumberFormat="1" applyFont="1"/>
    <xf numFmtId="3" fontId="3" fillId="0" borderId="1" xfId="0" applyNumberFormat="1" applyFont="1" applyBorder="1"/>
    <xf numFmtId="0" fontId="0" fillId="0" borderId="0" xfId="0" applyFont="1"/>
    <xf numFmtId="0" fontId="0" fillId="0" borderId="0" xfId="0" applyBorder="1"/>
    <xf numFmtId="3" fontId="3" fillId="0" borderId="0" xfId="0" applyNumberFormat="1" applyFont="1" applyBorder="1"/>
    <xf numFmtId="3" fontId="0" fillId="0" borderId="0" xfId="0" applyNumberFormat="1" applyBorder="1"/>
    <xf numFmtId="2" fontId="0" fillId="0" borderId="0" xfId="0" applyNumberForma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0" fontId="3" fillId="0" borderId="1" xfId="0" applyFont="1" applyFill="1" applyBorder="1"/>
    <xf numFmtId="10" fontId="0" fillId="0" borderId="0" xfId="0" applyNumberFormat="1"/>
    <xf numFmtId="10" fontId="0" fillId="0" borderId="1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0" borderId="7" xfId="0" applyBorder="1"/>
    <xf numFmtId="4" fontId="0" fillId="0" borderId="1" xfId="0" applyNumberFormat="1" applyBorder="1"/>
    <xf numFmtId="0" fontId="0" fillId="0" borderId="8" xfId="0" applyBorder="1"/>
    <xf numFmtId="3" fontId="0" fillId="0" borderId="3" xfId="0" applyNumberFormat="1" applyBorder="1"/>
    <xf numFmtId="0" fontId="2" fillId="0" borderId="6" xfId="0" applyFont="1" applyBorder="1"/>
    <xf numFmtId="0" fontId="0" fillId="0" borderId="5" xfId="0" applyBorder="1"/>
    <xf numFmtId="0" fontId="0" fillId="0" borderId="7" xfId="0" applyFill="1" applyBorder="1"/>
    <xf numFmtId="0" fontId="0" fillId="0" borderId="6" xfId="0" applyFill="1" applyBorder="1"/>
    <xf numFmtId="0" fontId="0" fillId="0" borderId="4" xfId="0" applyBorder="1"/>
    <xf numFmtId="0" fontId="0" fillId="0" borderId="8" xfId="0" applyFill="1" applyBorder="1"/>
    <xf numFmtId="3" fontId="0" fillId="0" borderId="2" xfId="0" applyNumberFormat="1" applyBorder="1"/>
    <xf numFmtId="9" fontId="0" fillId="0" borderId="3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A45-91CD-430A-BCC5-9382E10CC6A9}">
  <dimension ref="B1:M9"/>
  <sheetViews>
    <sheetView tabSelected="1" topLeftCell="B1" workbookViewId="0">
      <selection activeCell="C13" sqref="C13"/>
    </sheetView>
  </sheetViews>
  <sheetFormatPr defaultRowHeight="15" x14ac:dyDescent="0.25"/>
  <cols>
    <col min="2" max="2" width="10.28515625" bestFit="1" customWidth="1"/>
    <col min="3" max="3" width="34.42578125" bestFit="1" customWidth="1"/>
    <col min="4" max="4" width="16.42578125" customWidth="1"/>
    <col min="5" max="5" width="11.140625" bestFit="1" customWidth="1"/>
    <col min="6" max="6" width="26.140625" bestFit="1" customWidth="1"/>
    <col min="7" max="7" width="7.5703125" bestFit="1" customWidth="1"/>
    <col min="8" max="8" width="4.5703125" bestFit="1" customWidth="1"/>
    <col min="13" max="13" width="11.7109375" bestFit="1" customWidth="1"/>
  </cols>
  <sheetData>
    <row r="1" spans="2:13" x14ac:dyDescent="0.25">
      <c r="C1" s="31" t="s">
        <v>64</v>
      </c>
      <c r="D1" s="32"/>
      <c r="F1" s="34" t="s">
        <v>63</v>
      </c>
      <c r="G1" s="35" t="s">
        <v>83</v>
      </c>
      <c r="H1" s="32" t="s">
        <v>82</v>
      </c>
    </row>
    <row r="2" spans="2:13" x14ac:dyDescent="0.25">
      <c r="C2" s="27"/>
      <c r="D2" s="6"/>
      <c r="F2" s="33" t="s">
        <v>75</v>
      </c>
      <c r="G2" s="18">
        <v>220004</v>
      </c>
      <c r="H2" s="9">
        <f>G2/G9</f>
        <v>0.42803750318590306</v>
      </c>
      <c r="L2" s="25" t="s">
        <v>62</v>
      </c>
      <c r="M2" s="26">
        <v>2022</v>
      </c>
    </row>
    <row r="3" spans="2:13" x14ac:dyDescent="0.25">
      <c r="C3" s="27" t="s">
        <v>71</v>
      </c>
      <c r="D3" s="6">
        <v>-2847</v>
      </c>
      <c r="F3" s="33" t="s">
        <v>76</v>
      </c>
      <c r="G3" s="18">
        <v>18963</v>
      </c>
      <c r="H3" s="9">
        <f>G3/G9</f>
        <v>3.68942163456768E-2</v>
      </c>
      <c r="L3" s="27" t="s">
        <v>59</v>
      </c>
      <c r="M3" s="28">
        <v>124.24</v>
      </c>
    </row>
    <row r="4" spans="2:13" x14ac:dyDescent="0.25">
      <c r="C4" s="27" t="s">
        <v>72</v>
      </c>
      <c r="D4" s="6">
        <v>-7746</v>
      </c>
      <c r="F4" s="33" t="s">
        <v>77</v>
      </c>
      <c r="G4" s="18">
        <v>117716</v>
      </c>
      <c r="H4" s="9">
        <f>G4/G9</f>
        <v>0.22902703007687025</v>
      </c>
      <c r="L4" s="27" t="s">
        <v>12</v>
      </c>
      <c r="M4" s="28">
        <v>10247.259</v>
      </c>
    </row>
    <row r="5" spans="2:13" x14ac:dyDescent="0.25">
      <c r="C5" s="29" t="s">
        <v>73</v>
      </c>
      <c r="D5" s="12">
        <v>22841</v>
      </c>
      <c r="F5" s="33" t="s">
        <v>78</v>
      </c>
      <c r="G5" s="18">
        <v>35218</v>
      </c>
      <c r="H5" s="9">
        <f>G5/G9</f>
        <v>6.8519775945897046E-2</v>
      </c>
      <c r="L5" s="27" t="s">
        <v>60</v>
      </c>
      <c r="M5" s="7">
        <f>+M3*M4</f>
        <v>1273119.4581599999</v>
      </c>
    </row>
    <row r="6" spans="2:13" x14ac:dyDescent="0.25">
      <c r="F6" s="33" t="s">
        <v>79</v>
      </c>
      <c r="G6" s="18">
        <v>37739</v>
      </c>
      <c r="H6" s="9">
        <f>G6/G9</f>
        <v>7.3424607428650368E-2</v>
      </c>
      <c r="L6" s="27" t="s">
        <v>37</v>
      </c>
      <c r="M6" s="7">
        <f>36220+59829</f>
        <v>96049</v>
      </c>
    </row>
    <row r="7" spans="2:13" x14ac:dyDescent="0.25">
      <c r="B7" s="39" t="s">
        <v>65</v>
      </c>
      <c r="C7" s="35" t="s">
        <v>66</v>
      </c>
      <c r="D7" s="32"/>
      <c r="F7" s="33" t="s">
        <v>80</v>
      </c>
      <c r="G7" s="18">
        <v>80096</v>
      </c>
      <c r="H7" s="9">
        <f>G7/G9</f>
        <v>0.15583394781539467</v>
      </c>
      <c r="L7" s="27" t="s">
        <v>49</v>
      </c>
      <c r="M7" s="7">
        <f>48744+67651</f>
        <v>116395</v>
      </c>
    </row>
    <row r="8" spans="2:13" x14ac:dyDescent="0.25">
      <c r="B8" s="27"/>
      <c r="C8" s="16" t="s">
        <v>67</v>
      </c>
      <c r="D8" s="7" t="s">
        <v>69</v>
      </c>
      <c r="F8" s="33" t="s">
        <v>81</v>
      </c>
      <c r="G8" s="18">
        <v>4247</v>
      </c>
      <c r="H8" s="9">
        <f>G8/G9</f>
        <v>8.2629192016078351E-3</v>
      </c>
      <c r="L8" s="29" t="s">
        <v>61</v>
      </c>
      <c r="M8" s="30">
        <f>+M5-M6+M7</f>
        <v>1293465.4581599999</v>
      </c>
    </row>
    <row r="9" spans="2:13" x14ac:dyDescent="0.25">
      <c r="B9" s="29"/>
      <c r="C9" s="11" t="s">
        <v>68</v>
      </c>
      <c r="D9" s="30" t="s">
        <v>70</v>
      </c>
      <c r="F9" s="36" t="s">
        <v>74</v>
      </c>
      <c r="G9" s="37">
        <f>SUM(G2:G8)</f>
        <v>513983</v>
      </c>
      <c r="H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796C-C0E7-4195-9736-8516BD6ECC60}">
  <dimension ref="A1:AQ54"/>
  <sheetViews>
    <sheetView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Z4" sqref="Z4"/>
    </sheetView>
  </sheetViews>
  <sheetFormatPr defaultRowHeight="15" x14ac:dyDescent="0.25"/>
  <cols>
    <col min="2" max="2" width="18.42578125" bestFit="1" customWidth="1"/>
  </cols>
  <sheetData>
    <row r="1" spans="1:43" x14ac:dyDescent="0.25">
      <c r="B1" s="6"/>
      <c r="K1" s="6"/>
      <c r="Z1" s="6"/>
    </row>
    <row r="2" spans="1:43" x14ac:dyDescent="0.25">
      <c r="B2" s="6"/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2" t="s">
        <v>27</v>
      </c>
      <c r="Z2" s="6"/>
    </row>
    <row r="3" spans="1:43" x14ac:dyDescent="0.25">
      <c r="A3" s="11"/>
      <c r="B3" s="12" t="s">
        <v>0</v>
      </c>
      <c r="C3" s="11"/>
      <c r="D3" s="11"/>
      <c r="E3" s="11"/>
      <c r="F3" s="11"/>
      <c r="G3" s="11"/>
      <c r="H3" s="11"/>
      <c r="I3" s="11"/>
      <c r="J3" s="11"/>
      <c r="K3" s="12"/>
      <c r="L3" s="11" t="s">
        <v>28</v>
      </c>
      <c r="M3" s="11" t="s">
        <v>29</v>
      </c>
      <c r="N3" s="11" t="s">
        <v>30</v>
      </c>
      <c r="O3" s="11" t="s">
        <v>31</v>
      </c>
      <c r="P3" s="11" t="s">
        <v>32</v>
      </c>
      <c r="Q3" s="11" t="s">
        <v>33</v>
      </c>
      <c r="R3" s="11"/>
      <c r="S3" s="11"/>
      <c r="T3" s="11"/>
      <c r="U3" s="11"/>
      <c r="V3" s="16">
        <f>2017+1</f>
        <v>2018</v>
      </c>
      <c r="W3" s="16">
        <f>+V3+1</f>
        <v>2019</v>
      </c>
      <c r="X3" s="16">
        <f t="shared" ref="X3:AH3" si="0">+W3+1</f>
        <v>2020</v>
      </c>
      <c r="Y3" s="16">
        <f t="shared" si="0"/>
        <v>2021</v>
      </c>
      <c r="Z3" s="12">
        <f t="shared" si="0"/>
        <v>2022</v>
      </c>
      <c r="AA3" s="11">
        <f t="shared" si="0"/>
        <v>2023</v>
      </c>
      <c r="AB3" s="11">
        <f t="shared" si="0"/>
        <v>2024</v>
      </c>
      <c r="AC3" s="11">
        <f t="shared" si="0"/>
        <v>2025</v>
      </c>
      <c r="AD3" s="11">
        <f t="shared" si="0"/>
        <v>2026</v>
      </c>
      <c r="AE3" s="11">
        <f t="shared" si="0"/>
        <v>2027</v>
      </c>
      <c r="AF3" s="11">
        <f t="shared" si="0"/>
        <v>2028</v>
      </c>
      <c r="AG3" s="11">
        <f t="shared" si="0"/>
        <v>2029</v>
      </c>
      <c r="AH3" s="11">
        <f t="shared" si="0"/>
        <v>2030</v>
      </c>
      <c r="AI3" s="11"/>
      <c r="AJ3" s="11"/>
      <c r="AK3" s="11"/>
      <c r="AL3" s="11"/>
      <c r="AM3" s="11"/>
      <c r="AN3" s="11"/>
      <c r="AO3" s="11"/>
      <c r="AP3" s="11"/>
      <c r="AQ3" s="11"/>
    </row>
    <row r="4" spans="1:43" x14ac:dyDescent="0.25">
      <c r="B4" s="10" t="s">
        <v>1</v>
      </c>
      <c r="C4" s="13">
        <v>125555</v>
      </c>
      <c r="D4" s="13">
        <v>108518</v>
      </c>
      <c r="E4" s="13">
        <v>113080</v>
      </c>
      <c r="F4" s="13">
        <v>110812</v>
      </c>
      <c r="G4" s="13">
        <v>137412</v>
      </c>
      <c r="H4" s="13">
        <v>116444</v>
      </c>
      <c r="I4" s="13">
        <v>121234</v>
      </c>
      <c r="J4" s="13">
        <v>127101</v>
      </c>
      <c r="K4" s="14">
        <v>149204</v>
      </c>
      <c r="L4" s="2"/>
      <c r="M4" s="2"/>
      <c r="N4" s="2"/>
      <c r="O4" s="2"/>
      <c r="P4" s="2"/>
      <c r="Q4" s="2"/>
      <c r="V4" s="20">
        <v>232887</v>
      </c>
      <c r="W4" s="20">
        <v>280522</v>
      </c>
      <c r="X4" s="20">
        <v>386064</v>
      </c>
      <c r="Y4" s="20">
        <v>469822</v>
      </c>
      <c r="Z4" s="21">
        <v>513983</v>
      </c>
    </row>
    <row r="5" spans="1:43" x14ac:dyDescent="0.25">
      <c r="B5" s="6" t="s">
        <v>2</v>
      </c>
      <c r="C5" s="2">
        <v>79284</v>
      </c>
      <c r="D5" s="2">
        <v>62403</v>
      </c>
      <c r="E5" s="2">
        <v>64176</v>
      </c>
      <c r="F5" s="2">
        <v>62930</v>
      </c>
      <c r="G5" s="2">
        <v>82835</v>
      </c>
      <c r="H5" s="2">
        <v>66499</v>
      </c>
      <c r="I5" s="2">
        <v>66424</v>
      </c>
      <c r="J5" s="2">
        <v>70268</v>
      </c>
      <c r="K5" s="7">
        <v>85640</v>
      </c>
      <c r="L5" s="2"/>
      <c r="M5" s="2"/>
      <c r="N5" s="2"/>
      <c r="O5" s="2"/>
      <c r="P5" s="2"/>
      <c r="Q5" s="2"/>
      <c r="V5" s="18">
        <v>139156</v>
      </c>
      <c r="W5" s="18">
        <v>165536</v>
      </c>
      <c r="X5" s="18">
        <v>233307</v>
      </c>
      <c r="Y5" s="18">
        <v>272344</v>
      </c>
      <c r="Z5" s="7">
        <v>288831</v>
      </c>
    </row>
    <row r="6" spans="1:43" x14ac:dyDescent="0.25">
      <c r="B6" s="6" t="s">
        <v>3</v>
      </c>
      <c r="C6" s="2">
        <f>C4-C5</f>
        <v>46271</v>
      </c>
      <c r="D6" s="2">
        <f t="shared" ref="D6:K6" si="1">D4-D5</f>
        <v>46115</v>
      </c>
      <c r="E6" s="2">
        <f t="shared" si="1"/>
        <v>48904</v>
      </c>
      <c r="F6" s="2">
        <f t="shared" si="1"/>
        <v>47882</v>
      </c>
      <c r="G6" s="2">
        <f t="shared" si="1"/>
        <v>54577</v>
      </c>
      <c r="H6" s="2">
        <f t="shared" si="1"/>
        <v>49945</v>
      </c>
      <c r="I6" s="2">
        <f t="shared" si="1"/>
        <v>54810</v>
      </c>
      <c r="J6" s="2">
        <f t="shared" si="1"/>
        <v>56833</v>
      </c>
      <c r="K6" s="7">
        <f>K4-K5</f>
        <v>63564</v>
      </c>
      <c r="L6" s="2"/>
      <c r="M6" s="2"/>
      <c r="N6" s="2"/>
      <c r="O6" s="2"/>
      <c r="P6" s="2"/>
      <c r="Q6" s="2"/>
      <c r="V6" s="18">
        <f>V4-V5</f>
        <v>93731</v>
      </c>
      <c r="W6" s="18">
        <f>W4-W5</f>
        <v>114986</v>
      </c>
      <c r="X6" s="18">
        <f>X4-X5</f>
        <v>152757</v>
      </c>
      <c r="Y6" s="18">
        <f>Y4-Y5</f>
        <v>197478</v>
      </c>
      <c r="Z6" s="7">
        <f>Z4-Z5</f>
        <v>225152</v>
      </c>
    </row>
    <row r="7" spans="1:43" x14ac:dyDescent="0.25">
      <c r="B7" s="10" t="s">
        <v>4</v>
      </c>
      <c r="C7" s="13">
        <f>C8+C9</f>
        <v>39398</v>
      </c>
      <c r="D7" s="13">
        <f t="shared" ref="D7:K7" si="2">D8+D9</f>
        <v>37250</v>
      </c>
      <c r="E7" s="13">
        <f t="shared" si="2"/>
        <v>41202</v>
      </c>
      <c r="F7" s="13">
        <f t="shared" si="2"/>
        <v>43030</v>
      </c>
      <c r="G7" s="13">
        <f t="shared" si="2"/>
        <v>51117</v>
      </c>
      <c r="H7" s="13">
        <f>H8+H9</f>
        <v>46276</v>
      </c>
      <c r="I7" s="13">
        <f t="shared" si="2"/>
        <v>51493</v>
      </c>
      <c r="J7" s="13">
        <f>J8+J9</f>
        <v>54308</v>
      </c>
      <c r="K7" s="14">
        <f>K8+K9</f>
        <v>60827</v>
      </c>
      <c r="L7" s="2"/>
      <c r="M7" s="2"/>
      <c r="N7" s="2"/>
      <c r="O7" s="2"/>
      <c r="P7" s="2"/>
      <c r="Q7" s="2"/>
      <c r="V7" s="17">
        <f>V8+V9</f>
        <v>81310</v>
      </c>
      <c r="W7" s="17">
        <f>W8+W9</f>
        <v>100445</v>
      </c>
      <c r="X7" s="17">
        <f>X8+X9</f>
        <v>129858</v>
      </c>
      <c r="Y7" s="17">
        <f>Y8+Y9</f>
        <v>172599</v>
      </c>
      <c r="Z7" s="14">
        <f>Z8+Z9</f>
        <v>212905</v>
      </c>
    </row>
    <row r="8" spans="1:43" x14ac:dyDescent="0.25">
      <c r="B8" s="6" t="s">
        <v>5</v>
      </c>
      <c r="C8" s="2">
        <v>12049</v>
      </c>
      <c r="D8" s="2">
        <v>12488</v>
      </c>
      <c r="E8" s="2">
        <v>13871</v>
      </c>
      <c r="F8" s="2">
        <v>14380</v>
      </c>
      <c r="G8" s="2">
        <v>15313</v>
      </c>
      <c r="H8" s="2">
        <v>14842</v>
      </c>
      <c r="I8" s="2">
        <v>18072</v>
      </c>
      <c r="J8" s="2">
        <v>19485</v>
      </c>
      <c r="K8" s="7">
        <v>20814</v>
      </c>
      <c r="L8" s="2"/>
      <c r="M8" s="2"/>
      <c r="N8" s="2"/>
      <c r="O8" s="2"/>
      <c r="P8" s="2"/>
      <c r="Q8" s="2"/>
      <c r="V8" s="18">
        <v>28837</v>
      </c>
      <c r="W8" s="18">
        <v>35931</v>
      </c>
      <c r="X8" s="18">
        <v>42740</v>
      </c>
      <c r="Y8" s="18">
        <v>56052</v>
      </c>
      <c r="Z8" s="7">
        <v>73213</v>
      </c>
    </row>
    <row r="9" spans="1:43" x14ac:dyDescent="0.25">
      <c r="B9" s="6" t="s">
        <v>6</v>
      </c>
      <c r="C9" s="2">
        <f>18474+7403+1968-496</f>
        <v>27349</v>
      </c>
      <c r="D9" s="2">
        <f>16530+6207+1987+38</f>
        <v>24762</v>
      </c>
      <c r="E9" s="2">
        <f>11+2158+7524+17638</f>
        <v>27331</v>
      </c>
      <c r="F9" s="2">
        <f>2153+8010+18498-11</f>
        <v>28650</v>
      </c>
      <c r="G9" s="2">
        <f>24+2525+10810+22445</f>
        <v>35804</v>
      </c>
      <c r="H9" s="2">
        <f>249+2594+8320+20271</f>
        <v>31434</v>
      </c>
      <c r="I9" s="2">
        <f>90+2903+10086+20342</f>
        <v>33421</v>
      </c>
      <c r="J9" s="2">
        <f>165+3061+11014+20583</f>
        <v>34823</v>
      </c>
      <c r="K9" s="7">
        <f>759+3333+12818+23103</f>
        <v>40013</v>
      </c>
      <c r="L9" s="2"/>
      <c r="M9" s="2"/>
      <c r="N9" s="2"/>
      <c r="O9" s="2"/>
      <c r="P9" s="2"/>
      <c r="Q9" s="2"/>
      <c r="V9" s="18">
        <f>296+4336+13814+34027</f>
        <v>52473</v>
      </c>
      <c r="W9" s="18">
        <f>201+5203+18878+40232</f>
        <v>64514</v>
      </c>
      <c r="X9" s="18">
        <f>6668+22008+58517-75</f>
        <v>87118</v>
      </c>
      <c r="Y9" s="18">
        <f>62+8823+32551+75111</f>
        <v>116547</v>
      </c>
      <c r="Z9" s="7">
        <f>1263+11891+42238+84300</f>
        <v>139692</v>
      </c>
    </row>
    <row r="10" spans="1:43" x14ac:dyDescent="0.25">
      <c r="A10" s="1"/>
      <c r="B10" s="10" t="s">
        <v>7</v>
      </c>
      <c r="C10" s="13">
        <f>C6-C7</f>
        <v>6873</v>
      </c>
      <c r="D10" s="13">
        <f t="shared" ref="D10:K10" si="3">D6-D7</f>
        <v>8865</v>
      </c>
      <c r="E10" s="13">
        <f t="shared" si="3"/>
        <v>7702</v>
      </c>
      <c r="F10" s="13">
        <f t="shared" si="3"/>
        <v>4852</v>
      </c>
      <c r="G10" s="13">
        <f t="shared" si="3"/>
        <v>3460</v>
      </c>
      <c r="H10" s="13">
        <f t="shared" si="3"/>
        <v>3669</v>
      </c>
      <c r="I10" s="13">
        <f t="shared" si="3"/>
        <v>3317</v>
      </c>
      <c r="J10" s="13">
        <f t="shared" si="3"/>
        <v>2525</v>
      </c>
      <c r="K10" s="14">
        <f t="shared" si="3"/>
        <v>2737</v>
      </c>
      <c r="L10" s="2"/>
      <c r="M10" s="2"/>
      <c r="N10" s="2"/>
      <c r="O10" s="2"/>
      <c r="P10" s="2"/>
      <c r="Q10" s="2"/>
      <c r="V10" s="17">
        <f t="shared" ref="V10:W10" si="4">V6-V7</f>
        <v>12421</v>
      </c>
      <c r="W10" s="17">
        <f t="shared" si="4"/>
        <v>14541</v>
      </c>
      <c r="X10" s="17">
        <f t="shared" ref="X10:Y10" si="5">X6-X7</f>
        <v>22899</v>
      </c>
      <c r="Y10" s="17">
        <f t="shared" si="5"/>
        <v>24879</v>
      </c>
      <c r="Z10" s="14">
        <f t="shared" ref="Z10" si="6">Z6-Z7</f>
        <v>12247</v>
      </c>
    </row>
    <row r="11" spans="1:43" x14ac:dyDescent="0.25">
      <c r="B11" s="6" t="s">
        <v>8</v>
      </c>
      <c r="C11" s="2">
        <v>892</v>
      </c>
      <c r="D11" s="2">
        <v>1403</v>
      </c>
      <c r="E11" s="2">
        <v>932</v>
      </c>
      <c r="F11" s="2">
        <v>-537</v>
      </c>
      <c r="G11" s="2">
        <v>11484</v>
      </c>
      <c r="H11" s="2">
        <v>-8934</v>
      </c>
      <c r="I11" s="2">
        <v>-5970</v>
      </c>
      <c r="J11" s="2">
        <v>419</v>
      </c>
      <c r="K11" s="7">
        <v>-3699</v>
      </c>
      <c r="L11" s="2"/>
      <c r="M11" s="2"/>
      <c r="N11" s="2"/>
      <c r="O11" s="2"/>
      <c r="P11" s="2"/>
      <c r="Q11" s="2"/>
      <c r="V11" s="18">
        <v>-1160</v>
      </c>
      <c r="W11" s="18">
        <v>-565</v>
      </c>
      <c r="X11" s="18">
        <v>1279</v>
      </c>
      <c r="Y11" s="18">
        <v>13272</v>
      </c>
      <c r="Z11" s="7">
        <v>-18184</v>
      </c>
    </row>
    <row r="12" spans="1:43" x14ac:dyDescent="0.25">
      <c r="B12" s="6" t="s">
        <v>9</v>
      </c>
      <c r="C12" s="2">
        <f>+C10+C11</f>
        <v>7765</v>
      </c>
      <c r="D12" s="2">
        <f t="shared" ref="D12:K12" si="7">+D10+D11</f>
        <v>10268</v>
      </c>
      <c r="E12" s="2">
        <f t="shared" si="7"/>
        <v>8634</v>
      </c>
      <c r="F12" s="2">
        <f t="shared" si="7"/>
        <v>4315</v>
      </c>
      <c r="G12" s="2">
        <f t="shared" si="7"/>
        <v>14944</v>
      </c>
      <c r="H12" s="2">
        <f t="shared" si="7"/>
        <v>-5265</v>
      </c>
      <c r="I12" s="2">
        <f t="shared" si="7"/>
        <v>-2653</v>
      </c>
      <c r="J12" s="2">
        <f t="shared" si="7"/>
        <v>2944</v>
      </c>
      <c r="K12" s="7">
        <f t="shared" si="7"/>
        <v>-962</v>
      </c>
      <c r="L12" s="2"/>
      <c r="M12" s="2"/>
      <c r="N12" s="2"/>
      <c r="O12" s="2"/>
      <c r="P12" s="2"/>
      <c r="Q12" s="2"/>
      <c r="V12" s="18">
        <f t="shared" ref="V12:Z12" si="8">+V10+V11</f>
        <v>11261</v>
      </c>
      <c r="W12" s="18">
        <f t="shared" si="8"/>
        <v>13976</v>
      </c>
      <c r="X12" s="18">
        <f t="shared" si="8"/>
        <v>24178</v>
      </c>
      <c r="Y12" s="18">
        <f t="shared" si="8"/>
        <v>38151</v>
      </c>
      <c r="Z12" s="7">
        <f t="shared" si="8"/>
        <v>-5937</v>
      </c>
    </row>
    <row r="13" spans="1:43" x14ac:dyDescent="0.25">
      <c r="B13" s="6" t="s">
        <v>10</v>
      </c>
      <c r="C13" s="2">
        <v>-566</v>
      </c>
      <c r="D13" s="2">
        <v>-2156</v>
      </c>
      <c r="E13" s="2">
        <v>-868</v>
      </c>
      <c r="F13" s="2">
        <v>-1155</v>
      </c>
      <c r="G13" s="2">
        <v>-612</v>
      </c>
      <c r="H13" s="2">
        <v>1422</v>
      </c>
      <c r="I13" s="2">
        <v>637</v>
      </c>
      <c r="J13" s="2">
        <v>-69</v>
      </c>
      <c r="K13" s="7">
        <v>1227</v>
      </c>
      <c r="L13" s="2"/>
      <c r="M13" s="2"/>
      <c r="N13" s="2"/>
      <c r="O13" s="2"/>
      <c r="P13" s="2"/>
      <c r="Q13" s="2"/>
      <c r="V13" s="18">
        <v>-1197</v>
      </c>
      <c r="W13" s="18">
        <v>-2374</v>
      </c>
      <c r="X13" s="18">
        <v>-2863</v>
      </c>
      <c r="Y13" s="18">
        <v>-4791</v>
      </c>
      <c r="Z13" s="7">
        <v>3217</v>
      </c>
    </row>
    <row r="14" spans="1:43" x14ac:dyDescent="0.25">
      <c r="A14" s="1"/>
      <c r="B14" s="10" t="s">
        <v>11</v>
      </c>
      <c r="C14" s="13">
        <f>+C12+C13</f>
        <v>7199</v>
      </c>
      <c r="D14" s="13">
        <f t="shared" ref="D14:K14" si="9">+D12+D13</f>
        <v>8112</v>
      </c>
      <c r="E14" s="13">
        <f t="shared" si="9"/>
        <v>7766</v>
      </c>
      <c r="F14" s="13">
        <f t="shared" si="9"/>
        <v>3160</v>
      </c>
      <c r="G14" s="13">
        <f t="shared" si="9"/>
        <v>14332</v>
      </c>
      <c r="H14" s="13">
        <f t="shared" si="9"/>
        <v>-3843</v>
      </c>
      <c r="I14" s="13">
        <f t="shared" si="9"/>
        <v>-2016</v>
      </c>
      <c r="J14" s="13">
        <f t="shared" si="9"/>
        <v>2875</v>
      </c>
      <c r="K14" s="14">
        <f t="shared" si="9"/>
        <v>265</v>
      </c>
      <c r="V14" s="17">
        <f t="shared" ref="V14:Z14" si="10">+V12+V13</f>
        <v>10064</v>
      </c>
      <c r="W14" s="17">
        <f t="shared" si="10"/>
        <v>11602</v>
      </c>
      <c r="X14" s="17">
        <f t="shared" si="10"/>
        <v>21315</v>
      </c>
      <c r="Y14" s="17">
        <f t="shared" si="10"/>
        <v>33360</v>
      </c>
      <c r="Z14" s="14">
        <f t="shared" si="10"/>
        <v>-2720</v>
      </c>
    </row>
    <row r="15" spans="1:43" x14ac:dyDescent="0.25">
      <c r="B15" s="6" t="s">
        <v>12</v>
      </c>
      <c r="C15">
        <v>513</v>
      </c>
      <c r="D15">
        <v>513</v>
      </c>
      <c r="E15">
        <v>514</v>
      </c>
      <c r="F15">
        <v>515</v>
      </c>
      <c r="G15">
        <v>516</v>
      </c>
      <c r="H15">
        <v>509</v>
      </c>
      <c r="I15">
        <v>10175</v>
      </c>
      <c r="J15">
        <v>10331</v>
      </c>
      <c r="K15" s="6">
        <v>10308</v>
      </c>
      <c r="V15" s="16">
        <v>500</v>
      </c>
      <c r="W15" s="16">
        <v>504</v>
      </c>
      <c r="X15" s="16">
        <v>10198</v>
      </c>
      <c r="Y15" s="16">
        <v>10296</v>
      </c>
      <c r="Z15" s="6">
        <v>10189</v>
      </c>
    </row>
    <row r="16" spans="1:43" x14ac:dyDescent="0.25">
      <c r="B16" s="6" t="s">
        <v>13</v>
      </c>
      <c r="C16" s="3">
        <f>C14/C15</f>
        <v>14.033138401559453</v>
      </c>
      <c r="D16" s="3">
        <f t="shared" ref="D16:K16" si="11">D14/D15</f>
        <v>15.812865497076023</v>
      </c>
      <c r="E16" s="3">
        <f t="shared" si="11"/>
        <v>15.108949416342412</v>
      </c>
      <c r="F16" s="3">
        <f t="shared" si="11"/>
        <v>6.1359223300970873</v>
      </c>
      <c r="G16" s="3">
        <f t="shared" si="11"/>
        <v>27.775193798449614</v>
      </c>
      <c r="H16" s="3">
        <f t="shared" si="11"/>
        <v>-7.5500982318271124</v>
      </c>
      <c r="I16" s="3">
        <f t="shared" si="11"/>
        <v>-0.19813267813267813</v>
      </c>
      <c r="J16" s="3">
        <f t="shared" si="11"/>
        <v>0.27828864582325041</v>
      </c>
      <c r="K16" s="8">
        <f t="shared" si="11"/>
        <v>2.5708187815289097E-2</v>
      </c>
      <c r="V16" s="19">
        <f t="shared" ref="V16:Z16" si="12">V14/V15</f>
        <v>20.128</v>
      </c>
      <c r="W16" s="19">
        <f t="shared" si="12"/>
        <v>23.019841269841269</v>
      </c>
      <c r="X16" s="19">
        <f t="shared" si="12"/>
        <v>2.0901157089625415</v>
      </c>
      <c r="Y16" s="19">
        <f t="shared" si="12"/>
        <v>3.2400932400932403</v>
      </c>
      <c r="Z16" s="8">
        <f t="shared" si="12"/>
        <v>-0.26695455883796249</v>
      </c>
    </row>
    <row r="17" spans="1:26" x14ac:dyDescent="0.25">
      <c r="B17" s="6"/>
      <c r="K17" s="6"/>
      <c r="Z17" s="6"/>
    </row>
    <row r="18" spans="1:26" x14ac:dyDescent="0.25">
      <c r="B18" s="6" t="s">
        <v>14</v>
      </c>
      <c r="C18" s="4">
        <f>C6/C4</f>
        <v>0.36853171916689897</v>
      </c>
      <c r="D18" s="4">
        <f t="shared" ref="C18:K18" si="13">D6/D4</f>
        <v>0.42495254243535635</v>
      </c>
      <c r="E18" s="4">
        <f t="shared" si="13"/>
        <v>0.43247258577997877</v>
      </c>
      <c r="F18" s="4">
        <f t="shared" si="13"/>
        <v>0.43210121647475003</v>
      </c>
      <c r="G18" s="4">
        <f t="shared" si="13"/>
        <v>0.39717783017494834</v>
      </c>
      <c r="H18" s="4">
        <f t="shared" si="13"/>
        <v>0.42891862182680085</v>
      </c>
      <c r="I18" s="4">
        <f t="shared" si="13"/>
        <v>0.4521008957883102</v>
      </c>
      <c r="J18" s="4">
        <f t="shared" si="13"/>
        <v>0.44714833085498934</v>
      </c>
      <c r="K18" s="9">
        <f t="shared" si="13"/>
        <v>0.42602075011393797</v>
      </c>
      <c r="V18" s="4">
        <f>V6/V4</f>
        <v>0.40247416128852193</v>
      </c>
      <c r="W18" s="4">
        <f t="shared" ref="W18:Z18" si="14">W6/W4</f>
        <v>0.40990011478600608</v>
      </c>
      <c r="X18" s="4">
        <f t="shared" si="14"/>
        <v>0.3956779186870571</v>
      </c>
      <c r="Y18" s="4">
        <f t="shared" si="14"/>
        <v>0.42032514441639601</v>
      </c>
      <c r="Z18" s="9">
        <f t="shared" si="14"/>
        <v>0.43805339865326287</v>
      </c>
    </row>
    <row r="19" spans="1:26" x14ac:dyDescent="0.25">
      <c r="B19" s="6" t="s">
        <v>16</v>
      </c>
      <c r="C19" s="4">
        <f t="shared" ref="C19:K19" si="15">C10/C4</f>
        <v>5.4740950181195493E-2</v>
      </c>
      <c r="D19" s="4">
        <f t="shared" si="15"/>
        <v>8.1691516614755155E-2</v>
      </c>
      <c r="E19" s="4">
        <f t="shared" si="15"/>
        <v>6.8111071807569867E-2</v>
      </c>
      <c r="F19" s="4">
        <f t="shared" si="15"/>
        <v>4.3785871566256365E-2</v>
      </c>
      <c r="G19" s="4">
        <f t="shared" si="15"/>
        <v>2.5179751404535267E-2</v>
      </c>
      <c r="H19" s="4">
        <f t="shared" si="15"/>
        <v>3.1508708048504003E-2</v>
      </c>
      <c r="I19" s="4">
        <f t="shared" si="15"/>
        <v>2.7360311463780786E-2</v>
      </c>
      <c r="J19" s="4">
        <f t="shared" si="15"/>
        <v>1.986609074672898E-2</v>
      </c>
      <c r="K19" s="9">
        <f t="shared" si="15"/>
        <v>1.8344012224873328E-2</v>
      </c>
      <c r="V19" s="4">
        <f t="shared" ref="V19:Z19" si="16">V10/V4</f>
        <v>5.3334879147397665E-2</v>
      </c>
      <c r="W19" s="4">
        <f t="shared" si="16"/>
        <v>5.1835506662579051E-2</v>
      </c>
      <c r="X19" s="4">
        <f t="shared" si="16"/>
        <v>5.9313999751336569E-2</v>
      </c>
      <c r="Y19" s="4">
        <f t="shared" si="16"/>
        <v>5.2954097509269465E-2</v>
      </c>
      <c r="Z19" s="9">
        <f t="shared" si="16"/>
        <v>2.3827636322602111E-2</v>
      </c>
    </row>
    <row r="20" spans="1:26" x14ac:dyDescent="0.25">
      <c r="B20" s="6" t="s">
        <v>15</v>
      </c>
      <c r="C20" s="4">
        <f t="shared" ref="C20:K20" si="17">C14/C4</f>
        <v>5.7337421846999324E-2</v>
      </c>
      <c r="D20" s="4">
        <f t="shared" si="17"/>
        <v>7.4752575609576294E-2</v>
      </c>
      <c r="E20" s="4">
        <f t="shared" si="17"/>
        <v>6.8677042801556426E-2</v>
      </c>
      <c r="F20" s="4">
        <f t="shared" si="17"/>
        <v>2.8516767137133161E-2</v>
      </c>
      <c r="G20" s="4">
        <f t="shared" si="17"/>
        <v>0.10429947893924839</v>
      </c>
      <c r="H20" s="4">
        <f t="shared" si="17"/>
        <v>-3.3002988561025043E-2</v>
      </c>
      <c r="I20" s="4">
        <f t="shared" si="17"/>
        <v>-1.6628998465776926E-2</v>
      </c>
      <c r="J20" s="4">
        <f t="shared" si="17"/>
        <v>2.2619806295780521E-2</v>
      </c>
      <c r="K20" s="9">
        <f>K14/K4</f>
        <v>1.7760917937856893E-3</v>
      </c>
      <c r="V20" s="4">
        <f t="shared" ref="V20:Z20" si="18">V14/V4</f>
        <v>4.3214090953981973E-2</v>
      </c>
      <c r="W20" s="4">
        <f t="shared" si="18"/>
        <v>4.1358610019891488E-2</v>
      </c>
      <c r="X20" s="4">
        <f t="shared" si="18"/>
        <v>5.5211053089643171E-2</v>
      </c>
      <c r="Y20" s="4">
        <f t="shared" si="18"/>
        <v>7.1005614892448624E-2</v>
      </c>
      <c r="Z20" s="9">
        <f t="shared" si="18"/>
        <v>-5.2920038211380534E-3</v>
      </c>
    </row>
    <row r="21" spans="1:26" x14ac:dyDescent="0.25">
      <c r="B21" s="6" t="s">
        <v>17</v>
      </c>
      <c r="C21" s="4">
        <f t="shared" ref="C21:K21" si="19">C13/C12</f>
        <v>-7.2891178364455897E-2</v>
      </c>
      <c r="D21" s="4">
        <f t="shared" si="19"/>
        <v>-0.20997273081417997</v>
      </c>
      <c r="E21" s="4">
        <f t="shared" si="19"/>
        <v>-0.1005327773917072</v>
      </c>
      <c r="F21" s="4">
        <f t="shared" si="19"/>
        <v>-0.26767091541135574</v>
      </c>
      <c r="G21" s="4">
        <f t="shared" si="19"/>
        <v>-4.0952890792291217E-2</v>
      </c>
      <c r="H21" s="4">
        <f>H13/H12</f>
        <v>-0.27008547008547007</v>
      </c>
      <c r="I21" s="4">
        <f t="shared" si="19"/>
        <v>-0.24010554089709762</v>
      </c>
      <c r="J21" s="4">
        <f t="shared" si="19"/>
        <v>-2.34375E-2</v>
      </c>
      <c r="K21" s="9">
        <f t="shared" si="19"/>
        <v>-1.2754677754677755</v>
      </c>
      <c r="V21" s="4">
        <f t="shared" ref="V21:AD21" si="20">V13/V12</f>
        <v>-0.10629606606873279</v>
      </c>
      <c r="W21" s="4">
        <f t="shared" si="20"/>
        <v>-0.16986262163709215</v>
      </c>
      <c r="X21" s="4">
        <f t="shared" si="20"/>
        <v>-0.1184134337000579</v>
      </c>
      <c r="Y21" s="4">
        <f t="shared" si="20"/>
        <v>-0.12557993237398757</v>
      </c>
      <c r="Z21" s="9">
        <f t="shared" si="20"/>
        <v>-0.54185615630789963</v>
      </c>
    </row>
    <row r="22" spans="1:26" x14ac:dyDescent="0.25">
      <c r="B22" s="6" t="s">
        <v>18</v>
      </c>
      <c r="C22" s="5" t="e">
        <f t="shared" ref="C22:K22" si="21">C16/B16-1</f>
        <v>#VALUE!</v>
      </c>
      <c r="D22" s="5">
        <f t="shared" si="21"/>
        <v>0.12682316988470621</v>
      </c>
      <c r="E22" s="5">
        <f t="shared" si="21"/>
        <v>-4.4515403034559031E-2</v>
      </c>
      <c r="F22" s="5">
        <f t="shared" si="21"/>
        <v>-0.5938882207481454</v>
      </c>
      <c r="G22" s="5">
        <f t="shared" si="21"/>
        <v>3.5266534196840356</v>
      </c>
      <c r="H22" s="5">
        <f t="shared" si="21"/>
        <v>-1.2718288227478922</v>
      </c>
      <c r="I22" s="5">
        <f t="shared" si="21"/>
        <v>-0.97375760261006161</v>
      </c>
      <c r="J22" s="5">
        <f t="shared" si="21"/>
        <v>-2.4045570293906611</v>
      </c>
      <c r="K22" s="9">
        <f t="shared" si="21"/>
        <v>-0.90762042145399946</v>
      </c>
      <c r="V22" s="5"/>
      <c r="W22" s="5">
        <f t="shared" ref="W22" si="22">W16/V16-1</f>
        <v>0.14367255911373555</v>
      </c>
      <c r="X22" s="5">
        <f t="shared" ref="X22" si="23">X16/W16-1</f>
        <v>-0.90920373062255466</v>
      </c>
      <c r="Y22" s="5">
        <f t="shared" ref="Y22" si="24">Y16/X16-1</f>
        <v>0.55019802310442723</v>
      </c>
      <c r="Z22" s="9">
        <f t="shared" ref="Z22" si="25">Z16/Y16-1</f>
        <v>-1.0823910113248101</v>
      </c>
    </row>
    <row r="23" spans="1:26" x14ac:dyDescent="0.25">
      <c r="B23" s="6"/>
      <c r="K23" s="6"/>
      <c r="W23" s="5"/>
      <c r="Z23" s="6"/>
    </row>
    <row r="24" spans="1:26" s="4" customFormat="1" x14ac:dyDescent="0.25">
      <c r="A24"/>
      <c r="B24" s="10" t="s">
        <v>34</v>
      </c>
      <c r="G24" s="4">
        <f>G4/C4-1</f>
        <v>9.4436701047349692E-2</v>
      </c>
      <c r="H24" s="4">
        <f t="shared" ref="H24:K24" si="26">H4/D4-1</f>
        <v>7.3038574245747334E-2</v>
      </c>
      <c r="I24" s="4">
        <f t="shared" si="26"/>
        <v>7.2108241952600016E-2</v>
      </c>
      <c r="J24" s="4">
        <f t="shared" si="26"/>
        <v>0.14699671515720314</v>
      </c>
      <c r="K24" s="9">
        <f t="shared" si="26"/>
        <v>8.5814921549791867E-2</v>
      </c>
      <c r="W24" s="4">
        <f>W4/V4-1</f>
        <v>0.20454125820676983</v>
      </c>
      <c r="X24" s="4">
        <f t="shared" ref="X24:Z24" si="27">X4/W4-1</f>
        <v>0.37623430604373276</v>
      </c>
      <c r="Y24" s="4">
        <f t="shared" si="27"/>
        <v>0.21695366571345676</v>
      </c>
      <c r="Z24" s="9">
        <f t="shared" si="27"/>
        <v>9.399517263985091E-2</v>
      </c>
    </row>
    <row r="25" spans="1:26" x14ac:dyDescent="0.25">
      <c r="B25" s="6"/>
      <c r="K25" s="6"/>
      <c r="Z25" s="6"/>
    </row>
    <row r="26" spans="1:26" x14ac:dyDescent="0.25">
      <c r="B26" s="22" t="s">
        <v>55</v>
      </c>
      <c r="D26" s="23">
        <f>D6/C6-1</f>
        <v>-3.3714421559940533E-3</v>
      </c>
      <c r="E26" s="23">
        <f t="shared" ref="E26:K30" si="28">E6/D6-1</f>
        <v>6.047923669088151E-2</v>
      </c>
      <c r="F26" s="23">
        <f t="shared" si="28"/>
        <v>-2.0898086046131192E-2</v>
      </c>
      <c r="G26" s="23">
        <f t="shared" si="28"/>
        <v>0.13982289795747871</v>
      </c>
      <c r="H26" s="23">
        <f t="shared" si="28"/>
        <v>-8.4870916320061607E-2</v>
      </c>
      <c r="I26" s="23">
        <f t="shared" si="28"/>
        <v>9.7407147862648813E-2</v>
      </c>
      <c r="J26" s="23">
        <f t="shared" si="28"/>
        <v>3.6909323116219639E-2</v>
      </c>
      <c r="K26" s="23">
        <f t="shared" si="28"/>
        <v>0.11843471222705126</v>
      </c>
      <c r="W26" s="23">
        <f>W6/V6-1</f>
        <v>0.22676595790080123</v>
      </c>
      <c r="X26" s="23">
        <f t="shared" ref="X26:Z26" si="29">X6/W6-1</f>
        <v>0.32848346755257163</v>
      </c>
      <c r="Y26" s="23">
        <f t="shared" si="29"/>
        <v>0.2927590879632358</v>
      </c>
      <c r="Z26" s="24">
        <f t="shared" si="29"/>
        <v>0.14013712919920196</v>
      </c>
    </row>
    <row r="27" spans="1:26" x14ac:dyDescent="0.25">
      <c r="B27" s="1" t="s">
        <v>4</v>
      </c>
      <c r="Z27" s="6"/>
    </row>
    <row r="28" spans="1:26" x14ac:dyDescent="0.25">
      <c r="B28" s="15" t="s">
        <v>56</v>
      </c>
      <c r="D28" s="23">
        <f>D8/C8-1</f>
        <v>3.6434558884554713E-2</v>
      </c>
      <c r="E28" s="23">
        <f t="shared" si="28"/>
        <v>0.11074631646380517</v>
      </c>
      <c r="F28" s="23">
        <f t="shared" si="28"/>
        <v>3.6695263499387121E-2</v>
      </c>
      <c r="G28" s="23">
        <f t="shared" si="28"/>
        <v>6.4881780250347632E-2</v>
      </c>
      <c r="H28" s="23">
        <f t="shared" si="28"/>
        <v>-3.0758179324756774E-2</v>
      </c>
      <c r="I28" s="23">
        <f t="shared" si="28"/>
        <v>0.21762565691955271</v>
      </c>
      <c r="J28" s="23">
        <f t="shared" si="28"/>
        <v>7.8187250996015978E-2</v>
      </c>
      <c r="K28" s="23">
        <f t="shared" si="28"/>
        <v>6.8206312548113823E-2</v>
      </c>
      <c r="W28" s="23">
        <f>W8/V8-1</f>
        <v>0.24600339841176266</v>
      </c>
      <c r="X28" s="23">
        <f t="shared" ref="X28:Z28" si="30">X8/W8-1</f>
        <v>0.18950210124961742</v>
      </c>
      <c r="Y28" s="23">
        <f t="shared" si="30"/>
        <v>0.31146467009826861</v>
      </c>
      <c r="Z28" s="24">
        <f t="shared" si="30"/>
        <v>0.3061621351602084</v>
      </c>
    </row>
    <row r="29" spans="1:26" x14ac:dyDescent="0.25">
      <c r="B29" s="15" t="s">
        <v>57</v>
      </c>
      <c r="D29" s="23">
        <f>D9/C9-1</f>
        <v>-9.4592124026472657E-2</v>
      </c>
      <c r="E29" s="23">
        <f t="shared" si="28"/>
        <v>0.10374767789354666</v>
      </c>
      <c r="F29" s="23">
        <f t="shared" si="28"/>
        <v>4.8260217335626132E-2</v>
      </c>
      <c r="G29" s="23">
        <f t="shared" si="28"/>
        <v>0.24970331588132644</v>
      </c>
      <c r="H29" s="23">
        <f t="shared" si="28"/>
        <v>-0.12205340185454139</v>
      </c>
      <c r="I29" s="23">
        <f t="shared" si="28"/>
        <v>6.3211808869377162E-2</v>
      </c>
      <c r="J29" s="23">
        <f t="shared" si="28"/>
        <v>4.1949672361688783E-2</v>
      </c>
      <c r="K29" s="23">
        <f t="shared" si="28"/>
        <v>0.14903942796427638</v>
      </c>
      <c r="W29" s="23">
        <f>W9/V9-1</f>
        <v>0.22947039429801985</v>
      </c>
      <c r="X29" s="23">
        <f t="shared" ref="X29:Z29" si="31">X9/W9-1</f>
        <v>0.35037356232755679</v>
      </c>
      <c r="Y29" s="23">
        <f t="shared" si="31"/>
        <v>0.33780619389793154</v>
      </c>
      <c r="Z29" s="24">
        <f t="shared" si="31"/>
        <v>0.19858941028083099</v>
      </c>
    </row>
    <row r="30" spans="1:26" x14ac:dyDescent="0.25">
      <c r="B30" s="1" t="s">
        <v>58</v>
      </c>
      <c r="D30" s="23">
        <f>D10/C10-1</f>
        <v>0.28982976865997379</v>
      </c>
      <c r="E30" s="23">
        <f t="shared" si="28"/>
        <v>-0.13119007332205301</v>
      </c>
      <c r="F30" s="23">
        <f t="shared" si="28"/>
        <v>-0.3700337574655933</v>
      </c>
      <c r="G30" s="23">
        <f t="shared" si="28"/>
        <v>-0.28689200329760922</v>
      </c>
      <c r="H30" s="23">
        <f t="shared" si="28"/>
        <v>6.0404624277456742E-2</v>
      </c>
      <c r="I30" s="23">
        <f t="shared" si="28"/>
        <v>-9.5938947942218578E-2</v>
      </c>
      <c r="J30" s="23">
        <f t="shared" si="28"/>
        <v>-0.23876997286704849</v>
      </c>
      <c r="K30" s="23">
        <f t="shared" si="28"/>
        <v>8.3960396039604035E-2</v>
      </c>
      <c r="W30" s="23">
        <f>W10/V10-1</f>
        <v>0.17067868931648023</v>
      </c>
      <c r="X30" s="23">
        <f t="shared" ref="X30:Z30" si="32">X10/W10-1</f>
        <v>0.57478852898700228</v>
      </c>
      <c r="Y30" s="23">
        <f t="shared" si="32"/>
        <v>8.6466657932660729E-2</v>
      </c>
      <c r="Z30" s="24">
        <f t="shared" si="32"/>
        <v>-0.50773744925439124</v>
      </c>
    </row>
    <row r="31" spans="1:26" x14ac:dyDescent="0.25">
      <c r="B31" s="1"/>
      <c r="Z31" s="6"/>
    </row>
    <row r="32" spans="1:26" x14ac:dyDescent="0.25">
      <c r="B32" s="1"/>
      <c r="Z32" s="6"/>
    </row>
    <row r="33" spans="1:26" x14ac:dyDescent="0.25">
      <c r="Z33" s="6"/>
    </row>
    <row r="34" spans="1:26" x14ac:dyDescent="0.25">
      <c r="Z34" s="6"/>
    </row>
    <row r="35" spans="1:26" x14ac:dyDescent="0.25">
      <c r="A35" s="11"/>
      <c r="B35" s="12" t="s">
        <v>35</v>
      </c>
      <c r="G35" t="s">
        <v>54</v>
      </c>
      <c r="K35" s="6"/>
      <c r="Z35" s="6"/>
    </row>
    <row r="36" spans="1:26" x14ac:dyDescent="0.25">
      <c r="B36" s="10" t="s">
        <v>36</v>
      </c>
      <c r="C36" s="13"/>
      <c r="D36" s="13"/>
      <c r="E36" s="13"/>
      <c r="F36" s="13"/>
      <c r="G36" s="14">
        <f>+G50-G37</f>
        <v>20346</v>
      </c>
      <c r="H36" s="13"/>
      <c r="I36" s="13"/>
      <c r="J36" s="13"/>
      <c r="K36" s="14">
        <f>+K50-K37</f>
        <v>20346</v>
      </c>
      <c r="Z36" s="6"/>
    </row>
    <row r="37" spans="1:26" x14ac:dyDescent="0.25">
      <c r="B37" s="6" t="s">
        <v>37</v>
      </c>
      <c r="C37" s="2"/>
      <c r="D37" s="2"/>
      <c r="E37" s="2"/>
      <c r="F37" s="2"/>
      <c r="G37" s="2">
        <f>36220+59829</f>
        <v>96049</v>
      </c>
      <c r="H37" s="2"/>
      <c r="I37" s="2"/>
      <c r="J37" s="2"/>
      <c r="K37" s="7">
        <f>36220+59829</f>
        <v>96049</v>
      </c>
      <c r="Z37" s="6"/>
    </row>
    <row r="38" spans="1:26" x14ac:dyDescent="0.25">
      <c r="B38" s="6" t="s">
        <v>38</v>
      </c>
      <c r="C38" s="2"/>
      <c r="D38" s="2"/>
      <c r="E38" s="2"/>
      <c r="F38" s="2"/>
      <c r="G38" s="2">
        <v>32891</v>
      </c>
      <c r="H38" s="2"/>
      <c r="I38" s="2"/>
      <c r="J38" s="2"/>
      <c r="K38" s="7">
        <v>32891</v>
      </c>
      <c r="Z38" s="6"/>
    </row>
    <row r="39" spans="1:26" x14ac:dyDescent="0.25">
      <c r="B39" s="6" t="s">
        <v>39</v>
      </c>
      <c r="C39" s="2"/>
      <c r="D39" s="2"/>
      <c r="E39" s="2"/>
      <c r="F39" s="2"/>
      <c r="G39" s="2">
        <v>32640</v>
      </c>
      <c r="H39" s="2"/>
      <c r="I39" s="2"/>
      <c r="J39" s="2"/>
      <c r="K39" s="7">
        <v>32640</v>
      </c>
      <c r="Z39" s="6"/>
    </row>
    <row r="40" spans="1:26" x14ac:dyDescent="0.25">
      <c r="B40" s="6" t="s">
        <v>40</v>
      </c>
      <c r="C40" s="2"/>
      <c r="D40" s="2"/>
      <c r="E40" s="2"/>
      <c r="F40" s="2"/>
      <c r="G40" s="2">
        <v>56082</v>
      </c>
      <c r="H40" s="2"/>
      <c r="I40" s="2"/>
      <c r="J40" s="2"/>
      <c r="K40" s="7">
        <v>56082</v>
      </c>
      <c r="Z40" s="6"/>
    </row>
    <row r="41" spans="1:26" x14ac:dyDescent="0.25">
      <c r="B41" s="6" t="s">
        <v>41</v>
      </c>
      <c r="C41" s="2"/>
      <c r="D41" s="2"/>
      <c r="E41" s="2"/>
      <c r="F41" s="2"/>
      <c r="G41" s="2">
        <v>27235</v>
      </c>
      <c r="H41" s="2"/>
      <c r="I41" s="2"/>
      <c r="J41" s="2"/>
      <c r="K41" s="7">
        <v>27235</v>
      </c>
      <c r="Z41" s="6"/>
    </row>
    <row r="42" spans="1:26" x14ac:dyDescent="0.25">
      <c r="B42" s="6" t="s">
        <v>42</v>
      </c>
      <c r="C42" s="2"/>
      <c r="D42" s="2"/>
      <c r="E42" s="2"/>
      <c r="F42" s="2"/>
      <c r="G42" s="2">
        <v>160281</v>
      </c>
      <c r="H42" s="2"/>
      <c r="I42" s="2"/>
      <c r="J42" s="2"/>
      <c r="K42" s="7">
        <v>160281</v>
      </c>
      <c r="Z42" s="6"/>
    </row>
    <row r="43" spans="1:26" x14ac:dyDescent="0.25">
      <c r="B43" s="6" t="s">
        <v>43</v>
      </c>
      <c r="C43" s="2"/>
      <c r="D43" s="2"/>
      <c r="E43" s="2"/>
      <c r="F43" s="2"/>
      <c r="G43" s="2">
        <v>15371</v>
      </c>
      <c r="H43" s="2"/>
      <c r="I43" s="2"/>
      <c r="J43" s="2"/>
      <c r="K43" s="7">
        <v>15371</v>
      </c>
      <c r="Z43" s="6"/>
    </row>
    <row r="44" spans="1:26" x14ac:dyDescent="0.25">
      <c r="B44" s="6" t="s">
        <v>44</v>
      </c>
      <c r="C44" s="2"/>
      <c r="D44" s="2"/>
      <c r="E44" s="2"/>
      <c r="F44" s="2"/>
      <c r="G44" s="2"/>
      <c r="H44" s="2"/>
      <c r="I44" s="2"/>
      <c r="J44" s="2"/>
      <c r="K44" s="7"/>
      <c r="Z44" s="6"/>
    </row>
    <row r="45" spans="1:26" x14ac:dyDescent="0.25">
      <c r="B45" s="10" t="s">
        <v>45</v>
      </c>
      <c r="C45" s="2"/>
      <c r="D45" s="2"/>
      <c r="E45" s="2"/>
      <c r="F45" s="2"/>
      <c r="G45" s="13">
        <f>SUM(G37:G43)</f>
        <v>420549</v>
      </c>
      <c r="H45" s="2"/>
      <c r="I45" s="2"/>
      <c r="J45" s="2"/>
      <c r="K45" s="14">
        <f>SUM(K37:K43)</f>
        <v>420549</v>
      </c>
      <c r="Z45" s="6"/>
    </row>
    <row r="46" spans="1:26" x14ac:dyDescent="0.25">
      <c r="B46" s="6"/>
      <c r="C46" s="2"/>
      <c r="D46" s="2"/>
      <c r="E46" s="2"/>
      <c r="F46" s="2"/>
      <c r="G46" s="2"/>
      <c r="H46" s="2"/>
      <c r="I46" s="2"/>
      <c r="J46" s="2"/>
      <c r="K46" s="7"/>
      <c r="Z46" s="6"/>
    </row>
    <row r="47" spans="1:26" x14ac:dyDescent="0.25">
      <c r="B47" s="6" t="s">
        <v>46</v>
      </c>
      <c r="C47" s="2"/>
      <c r="D47" s="2"/>
      <c r="E47" s="2"/>
      <c r="F47" s="2"/>
      <c r="G47" s="2">
        <v>78664</v>
      </c>
      <c r="H47" s="2"/>
      <c r="I47" s="2"/>
      <c r="J47" s="2"/>
      <c r="K47" s="7">
        <v>78664</v>
      </c>
      <c r="Z47" s="6"/>
    </row>
    <row r="48" spans="1:26" x14ac:dyDescent="0.25">
      <c r="B48" s="6" t="s">
        <v>47</v>
      </c>
      <c r="C48" s="2"/>
      <c r="D48" s="2"/>
      <c r="E48" s="2"/>
      <c r="F48" s="2"/>
      <c r="G48" s="2">
        <v>51775</v>
      </c>
      <c r="H48" s="2"/>
      <c r="I48" s="2"/>
      <c r="J48" s="2"/>
      <c r="K48" s="7">
        <v>51775</v>
      </c>
      <c r="Z48" s="6"/>
    </row>
    <row r="49" spans="2:11" x14ac:dyDescent="0.25">
      <c r="B49" s="6" t="s">
        <v>48</v>
      </c>
      <c r="C49" s="2"/>
      <c r="D49" s="2"/>
      <c r="E49" s="2"/>
      <c r="F49" s="2"/>
      <c r="G49" s="2">
        <v>11827</v>
      </c>
      <c r="H49" s="2"/>
      <c r="I49" s="2"/>
      <c r="J49" s="2"/>
      <c r="K49" s="7">
        <v>11827</v>
      </c>
    </row>
    <row r="50" spans="2:11" x14ac:dyDescent="0.25">
      <c r="B50" s="6" t="s">
        <v>49</v>
      </c>
      <c r="C50" s="2"/>
      <c r="D50" s="2"/>
      <c r="E50" s="2"/>
      <c r="F50" s="2"/>
      <c r="G50" s="2">
        <f>48744+67651</f>
        <v>116395</v>
      </c>
      <c r="H50" s="2"/>
      <c r="I50" s="2"/>
      <c r="J50" s="2"/>
      <c r="K50" s="7">
        <f>48744+67651</f>
        <v>116395</v>
      </c>
    </row>
    <row r="51" spans="2:11" x14ac:dyDescent="0.25">
      <c r="B51" s="6" t="s">
        <v>50</v>
      </c>
      <c r="C51" s="2"/>
      <c r="D51" s="2"/>
      <c r="E51" s="2"/>
      <c r="F51" s="2"/>
      <c r="G51" s="2">
        <v>23643</v>
      </c>
      <c r="H51" s="2"/>
      <c r="I51" s="2"/>
      <c r="J51" s="2"/>
      <c r="K51" s="7">
        <v>23643</v>
      </c>
    </row>
    <row r="52" spans="2:11" x14ac:dyDescent="0.25">
      <c r="B52" s="10" t="s">
        <v>51</v>
      </c>
      <c r="C52" s="2"/>
      <c r="D52" s="2"/>
      <c r="E52" s="2"/>
      <c r="F52" s="2"/>
      <c r="G52" s="13">
        <f>SUM(G47:G51)</f>
        <v>282304</v>
      </c>
      <c r="H52" s="2"/>
      <c r="I52" s="2"/>
      <c r="J52" s="2"/>
      <c r="K52" s="14">
        <f>SUM(K47:K51)</f>
        <v>282304</v>
      </c>
    </row>
    <row r="53" spans="2:11" x14ac:dyDescent="0.25">
      <c r="B53" s="10" t="s">
        <v>52</v>
      </c>
      <c r="C53" s="2"/>
      <c r="D53" s="2"/>
      <c r="E53" s="2"/>
      <c r="F53" s="2"/>
      <c r="G53" s="2">
        <f>G45-G52</f>
        <v>138245</v>
      </c>
      <c r="H53" s="2"/>
      <c r="I53" s="2"/>
      <c r="J53" s="2"/>
      <c r="K53" s="7">
        <f>K45-K52</f>
        <v>138245</v>
      </c>
    </row>
    <row r="54" spans="2:11" x14ac:dyDescent="0.25">
      <c r="B54" s="6" t="s">
        <v>53</v>
      </c>
      <c r="C54" s="2"/>
      <c r="D54" s="2"/>
      <c r="E54" s="2"/>
      <c r="F54" s="2"/>
      <c r="G54" s="2">
        <f>G53+G52</f>
        <v>420549</v>
      </c>
      <c r="H54" s="2"/>
      <c r="I54" s="2"/>
      <c r="J54" s="2"/>
      <c r="K54" s="7">
        <f>K53+K52</f>
        <v>420549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2023-06-02T22:28:49Z</dcterms:created>
  <dcterms:modified xsi:type="dcterms:W3CDTF">2023-06-03T04:31:25Z</dcterms:modified>
</cp:coreProperties>
</file>