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1234\OneDrive\Desktop\Лейхтер\ЛАБА 2\"/>
    </mc:Choice>
  </mc:AlternateContent>
  <xr:revisionPtr revIDLastSave="0" documentId="13_ncr:1_{49AA6F02-1347-4DF1-8F6D-91E2EE893C1F}" xr6:coauthVersionLast="47" xr6:coauthVersionMax="47" xr10:uidLastSave="{00000000-0000-0000-0000-000000000000}"/>
  <bookViews>
    <workbookView xWindow="-108" yWindow="-108" windowWidth="23256" windowHeight="12576" tabRatio="732" xr2:uid="{00000000-000D-0000-FFFF-FFFF00000000}"/>
  </bookViews>
  <sheets>
    <sheet name="YCbCr - якростный канал" sheetId="1" r:id="rId1"/>
    <sheet name="DCT матрица" sheetId="2" r:id="rId2"/>
    <sheet name="Част. предст. изобр." sheetId="3" r:id="rId3"/>
    <sheet name="Матрица квантования" sheetId="4" r:id="rId4"/>
    <sheet name="Сжатое изображение" sheetId="5" r:id="rId5"/>
    <sheet name="Итоговое сжатие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3" i="1" l="1"/>
  <c r="U3" i="1"/>
  <c r="V3" i="1"/>
  <c r="W3" i="1"/>
  <c r="X3" i="1"/>
  <c r="Y3" i="1"/>
  <c r="Z3" i="1"/>
  <c r="AA3" i="1"/>
  <c r="AB3" i="1"/>
  <c r="AC3" i="1"/>
  <c r="AD3" i="1"/>
  <c r="AE3" i="1"/>
  <c r="AF3" i="1"/>
  <c r="AG3" i="1"/>
  <c r="AH3" i="1"/>
  <c r="AI3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U2" i="1"/>
  <c r="V2" i="1"/>
  <c r="W2" i="1"/>
  <c r="X2" i="1"/>
  <c r="Y2" i="1"/>
  <c r="Z2" i="1"/>
  <c r="AA2" i="1"/>
  <c r="AB2" i="1"/>
  <c r="AC2" i="1"/>
  <c r="AD2" i="1"/>
  <c r="AE2" i="1"/>
  <c r="AF2" i="1"/>
  <c r="AG2" i="1"/>
  <c r="AH2" i="1"/>
  <c r="AI2" i="1"/>
  <c r="T2" i="1"/>
  <c r="AI17" i="6"/>
  <c r="AH17" i="6"/>
  <c r="AG17" i="6"/>
  <c r="AF17" i="6"/>
  <c r="AE17" i="6"/>
  <c r="AD17" i="6"/>
  <c r="AC17" i="6"/>
  <c r="AB17" i="6"/>
  <c r="AA17" i="6"/>
  <c r="Z17" i="6"/>
  <c r="Y17" i="6"/>
  <c r="X17" i="6"/>
  <c r="W17" i="6"/>
  <c r="V17" i="6"/>
  <c r="U17" i="6"/>
  <c r="T17" i="6"/>
  <c r="AI16" i="6"/>
  <c r="AH16" i="6"/>
  <c r="AG16" i="6"/>
  <c r="AF16" i="6"/>
  <c r="AE16" i="6"/>
  <c r="AD16" i="6"/>
  <c r="AC16" i="6"/>
  <c r="AB16" i="6"/>
  <c r="AA16" i="6"/>
  <c r="Z16" i="6"/>
  <c r="Y16" i="6"/>
  <c r="X16" i="6"/>
  <c r="W16" i="6"/>
  <c r="V16" i="6"/>
  <c r="U16" i="6"/>
  <c r="T16" i="6"/>
  <c r="AI15" i="6"/>
  <c r="AH15" i="6"/>
  <c r="AG15" i="6"/>
  <c r="AF15" i="6"/>
  <c r="AE15" i="6"/>
  <c r="AD15" i="6"/>
  <c r="AC15" i="6"/>
  <c r="AB15" i="6"/>
  <c r="AA15" i="6"/>
  <c r="Z15" i="6"/>
  <c r="Y15" i="6"/>
  <c r="X15" i="6"/>
  <c r="W15" i="6"/>
  <c r="V15" i="6"/>
  <c r="U15" i="6"/>
  <c r="T15" i="6"/>
  <c r="AI14" i="6"/>
  <c r="AH14" i="6"/>
  <c r="AG14" i="6"/>
  <c r="AF14" i="6"/>
  <c r="AE14" i="6"/>
  <c r="AD14" i="6"/>
  <c r="AC14" i="6"/>
  <c r="AB14" i="6"/>
  <c r="AA14" i="6"/>
  <c r="Z14" i="6"/>
  <c r="Y14" i="6"/>
  <c r="X14" i="6"/>
  <c r="W14" i="6"/>
  <c r="V14" i="6"/>
  <c r="U14" i="6"/>
  <c r="T14" i="6"/>
  <c r="AI13" i="6"/>
  <c r="AH13" i="6"/>
  <c r="AG13" i="6"/>
  <c r="AF13" i="6"/>
  <c r="AE13" i="6"/>
  <c r="AD13" i="6"/>
  <c r="AC13" i="6"/>
  <c r="AB13" i="6"/>
  <c r="AA13" i="6"/>
  <c r="Z13" i="6"/>
  <c r="Y13" i="6"/>
  <c r="X13" i="6"/>
  <c r="W13" i="6"/>
  <c r="V13" i="6"/>
  <c r="U13" i="6"/>
  <c r="T13" i="6"/>
  <c r="AI12" i="6"/>
  <c r="AH12" i="6"/>
  <c r="AG12" i="6"/>
  <c r="AF12" i="6"/>
  <c r="AE12" i="6"/>
  <c r="AD12" i="6"/>
  <c r="AC12" i="6"/>
  <c r="AB12" i="6"/>
  <c r="AA12" i="6"/>
  <c r="Z12" i="6"/>
  <c r="Y12" i="6"/>
  <c r="X12" i="6"/>
  <c r="W12" i="6"/>
  <c r="V12" i="6"/>
  <c r="U12" i="6"/>
  <c r="T12" i="6"/>
  <c r="AI11" i="6"/>
  <c r="AH11" i="6"/>
  <c r="AG11" i="6"/>
  <c r="AF11" i="6"/>
  <c r="AE11" i="6"/>
  <c r="AD11" i="6"/>
  <c r="AC11" i="6"/>
  <c r="AB11" i="6"/>
  <c r="AA11" i="6"/>
  <c r="Z11" i="6"/>
  <c r="Y11" i="6"/>
  <c r="X11" i="6"/>
  <c r="W11" i="6"/>
  <c r="V11" i="6"/>
  <c r="U11" i="6"/>
  <c r="T11" i="6"/>
  <c r="AI10" i="6"/>
  <c r="AH10" i="6"/>
  <c r="AG10" i="6"/>
  <c r="AF10" i="6"/>
  <c r="AE10" i="6"/>
  <c r="AD10" i="6"/>
  <c r="AC10" i="6"/>
  <c r="AB10" i="6"/>
  <c r="AA10" i="6"/>
  <c r="Z10" i="6"/>
  <c r="Y10" i="6"/>
  <c r="X10" i="6"/>
  <c r="W10" i="6"/>
  <c r="V10" i="6"/>
  <c r="U10" i="6"/>
  <c r="T10" i="6"/>
  <c r="AI9" i="6"/>
  <c r="AH9" i="6"/>
  <c r="AG9" i="6"/>
  <c r="AF9" i="6"/>
  <c r="AE9" i="6"/>
  <c r="AD9" i="6"/>
  <c r="AC9" i="6"/>
  <c r="AB9" i="6"/>
  <c r="AA9" i="6"/>
  <c r="Z9" i="6"/>
  <c r="Y9" i="6"/>
  <c r="X9" i="6"/>
  <c r="W9" i="6"/>
  <c r="V9" i="6"/>
  <c r="U9" i="6"/>
  <c r="T9" i="6"/>
  <c r="AI8" i="6"/>
  <c r="AH8" i="6"/>
  <c r="AG8" i="6"/>
  <c r="AF8" i="6"/>
  <c r="AE8" i="6"/>
  <c r="AD8" i="6"/>
  <c r="AC8" i="6"/>
  <c r="AB8" i="6"/>
  <c r="AA8" i="6"/>
  <c r="Z8" i="6"/>
  <c r="Y8" i="6"/>
  <c r="X8" i="6"/>
  <c r="W8" i="6"/>
  <c r="V8" i="6"/>
  <c r="U8" i="6"/>
  <c r="T8" i="6"/>
  <c r="AI7" i="6"/>
  <c r="AH7" i="6"/>
  <c r="AG7" i="6"/>
  <c r="AF7" i="6"/>
  <c r="AE7" i="6"/>
  <c r="AD7" i="6"/>
  <c r="AC7" i="6"/>
  <c r="AB7" i="6"/>
  <c r="AA7" i="6"/>
  <c r="Z7" i="6"/>
  <c r="Y7" i="6"/>
  <c r="X7" i="6"/>
  <c r="W7" i="6"/>
  <c r="V7" i="6"/>
  <c r="U7" i="6"/>
  <c r="T7" i="6"/>
  <c r="AI6" i="6"/>
  <c r="AH6" i="6"/>
  <c r="AG6" i="6"/>
  <c r="AF6" i="6"/>
  <c r="AE6" i="6"/>
  <c r="AD6" i="6"/>
  <c r="AC6" i="6"/>
  <c r="AB6" i="6"/>
  <c r="AA6" i="6"/>
  <c r="Z6" i="6"/>
  <c r="Y6" i="6"/>
  <c r="X6" i="6"/>
  <c r="W6" i="6"/>
  <c r="V6" i="6"/>
  <c r="U6" i="6"/>
  <c r="T6" i="6"/>
  <c r="AI5" i="6"/>
  <c r="AH5" i="6"/>
  <c r="AG5" i="6"/>
  <c r="AF5" i="6"/>
  <c r="AE5" i="6"/>
  <c r="AD5" i="6"/>
  <c r="AC5" i="6"/>
  <c r="AB5" i="6"/>
  <c r="AA5" i="6"/>
  <c r="Z5" i="6"/>
  <c r="Y5" i="6"/>
  <c r="X5" i="6"/>
  <c r="W5" i="6"/>
  <c r="V5" i="6"/>
  <c r="U5" i="6"/>
  <c r="T5" i="6"/>
  <c r="AI4" i="6"/>
  <c r="AH4" i="6"/>
  <c r="AG4" i="6"/>
  <c r="AF4" i="6"/>
  <c r="AE4" i="6"/>
  <c r="AD4" i="6"/>
  <c r="AC4" i="6"/>
  <c r="AB4" i="6"/>
  <c r="AA4" i="6"/>
  <c r="Z4" i="6"/>
  <c r="Y4" i="6"/>
  <c r="X4" i="6"/>
  <c r="W4" i="6"/>
  <c r="V4" i="6"/>
  <c r="U4" i="6"/>
  <c r="T4" i="6"/>
  <c r="AI3" i="6"/>
  <c r="AH3" i="6"/>
  <c r="AG3" i="6"/>
  <c r="AF3" i="6"/>
  <c r="AE3" i="6"/>
  <c r="AD3" i="6"/>
  <c r="AC3" i="6"/>
  <c r="AB3" i="6"/>
  <c r="AA3" i="6"/>
  <c r="Z3" i="6"/>
  <c r="Y3" i="6"/>
  <c r="X3" i="6"/>
  <c r="W3" i="6"/>
  <c r="V3" i="6"/>
  <c r="U3" i="6"/>
  <c r="T3" i="6"/>
  <c r="AI2" i="6"/>
  <c r="AH2" i="6"/>
  <c r="AG2" i="6"/>
  <c r="AF2" i="6"/>
  <c r="AE2" i="6"/>
  <c r="AD2" i="6"/>
  <c r="AC2" i="6"/>
  <c r="AB2" i="6"/>
  <c r="AA2" i="6"/>
  <c r="Z2" i="6"/>
  <c r="Y2" i="6"/>
  <c r="X2" i="6"/>
  <c r="W2" i="6"/>
  <c r="V2" i="6"/>
  <c r="U2" i="6"/>
  <c r="T2" i="6"/>
  <c r="B2" i="2"/>
  <c r="B2" i="3" s="1" a="1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J2" i="4"/>
  <c r="K2" i="4"/>
  <c r="L2" i="4"/>
  <c r="M2" i="4"/>
  <c r="N2" i="4"/>
  <c r="O2" i="4"/>
  <c r="P2" i="4"/>
  <c r="Q2" i="4"/>
  <c r="J3" i="4"/>
  <c r="K3" i="4"/>
  <c r="L3" i="4"/>
  <c r="M3" i="4"/>
  <c r="N3" i="4"/>
  <c r="O3" i="4"/>
  <c r="P3" i="4"/>
  <c r="Q3" i="4"/>
  <c r="J4" i="4"/>
  <c r="K4" i="4"/>
  <c r="L4" i="4"/>
  <c r="M4" i="4"/>
  <c r="N4" i="4"/>
  <c r="O4" i="4"/>
  <c r="P4" i="4"/>
  <c r="Q4" i="4"/>
  <c r="J5" i="4"/>
  <c r="K5" i="4"/>
  <c r="L5" i="4"/>
  <c r="M5" i="4"/>
  <c r="N5" i="4"/>
  <c r="O5" i="4"/>
  <c r="P5" i="4"/>
  <c r="Q5" i="4"/>
  <c r="J6" i="4"/>
  <c r="K6" i="4"/>
  <c r="L6" i="4"/>
  <c r="M6" i="4"/>
  <c r="N6" i="4"/>
  <c r="O6" i="4"/>
  <c r="P6" i="4"/>
  <c r="Q6" i="4"/>
  <c r="J7" i="4"/>
  <c r="K7" i="4"/>
  <c r="L7" i="4"/>
  <c r="M7" i="4"/>
  <c r="N7" i="4"/>
  <c r="O7" i="4"/>
  <c r="P7" i="4"/>
  <c r="Q7" i="4"/>
  <c r="J8" i="4"/>
  <c r="K8" i="4"/>
  <c r="L8" i="4"/>
  <c r="M8" i="4"/>
  <c r="N8" i="4"/>
  <c r="O8" i="4"/>
  <c r="P8" i="4"/>
  <c r="Q8" i="4"/>
  <c r="J9" i="4"/>
  <c r="K9" i="4"/>
  <c r="L9" i="4"/>
  <c r="M9" i="4"/>
  <c r="N9" i="4"/>
  <c r="O9" i="4"/>
  <c r="P9" i="4"/>
  <c r="Q9" i="4"/>
  <c r="B3" i="4"/>
  <c r="C3" i="4"/>
  <c r="D3" i="4"/>
  <c r="E3" i="4"/>
  <c r="F3" i="4"/>
  <c r="G3" i="4"/>
  <c r="H3" i="4"/>
  <c r="I3" i="4"/>
  <c r="B4" i="4"/>
  <c r="C4" i="4"/>
  <c r="D4" i="4"/>
  <c r="E4" i="4"/>
  <c r="F4" i="4"/>
  <c r="G4" i="4"/>
  <c r="H4" i="4"/>
  <c r="I4" i="4"/>
  <c r="B5" i="4"/>
  <c r="C5" i="4"/>
  <c r="D5" i="4"/>
  <c r="E5" i="4"/>
  <c r="F5" i="4"/>
  <c r="G5" i="4"/>
  <c r="H5" i="4"/>
  <c r="I5" i="4"/>
  <c r="B6" i="4"/>
  <c r="C6" i="4"/>
  <c r="D6" i="4"/>
  <c r="E6" i="4"/>
  <c r="F6" i="4"/>
  <c r="G6" i="4"/>
  <c r="H6" i="4"/>
  <c r="I6" i="4"/>
  <c r="B7" i="4"/>
  <c r="C7" i="4"/>
  <c r="D7" i="4"/>
  <c r="E7" i="4"/>
  <c r="F7" i="4"/>
  <c r="G7" i="4"/>
  <c r="H7" i="4"/>
  <c r="I7" i="4"/>
  <c r="B8" i="4"/>
  <c r="C8" i="4"/>
  <c r="D8" i="4"/>
  <c r="E8" i="4"/>
  <c r="F8" i="4"/>
  <c r="G8" i="4"/>
  <c r="H8" i="4"/>
  <c r="I8" i="4"/>
  <c r="B9" i="4"/>
  <c r="C9" i="4"/>
  <c r="D9" i="4"/>
  <c r="E9" i="4"/>
  <c r="F9" i="4"/>
  <c r="G9" i="4"/>
  <c r="H9" i="4"/>
  <c r="I9" i="4"/>
  <c r="D2" i="4"/>
  <c r="E2" i="4"/>
  <c r="F2" i="4"/>
  <c r="G2" i="4"/>
  <c r="H2" i="4"/>
  <c r="I2" i="4"/>
  <c r="C2" i="4"/>
  <c r="B2" i="4"/>
  <c r="J11" i="2"/>
  <c r="K11" i="2"/>
  <c r="L11" i="2"/>
  <c r="M11" i="2"/>
  <c r="N11" i="2"/>
  <c r="O11" i="2"/>
  <c r="P11" i="2"/>
  <c r="Q11" i="2"/>
  <c r="J12" i="2"/>
  <c r="K12" i="2"/>
  <c r="L12" i="2"/>
  <c r="M12" i="2"/>
  <c r="N12" i="2"/>
  <c r="O12" i="2"/>
  <c r="P12" i="2"/>
  <c r="Q12" i="2"/>
  <c r="J13" i="2"/>
  <c r="K13" i="2"/>
  <c r="L13" i="2"/>
  <c r="M13" i="2"/>
  <c r="N13" i="2"/>
  <c r="O13" i="2"/>
  <c r="P13" i="2"/>
  <c r="Q13" i="2"/>
  <c r="J14" i="2"/>
  <c r="K14" i="2"/>
  <c r="L14" i="2"/>
  <c r="M14" i="2"/>
  <c r="N14" i="2"/>
  <c r="O14" i="2"/>
  <c r="P14" i="2"/>
  <c r="Q14" i="2"/>
  <c r="J15" i="2"/>
  <c r="K15" i="2"/>
  <c r="L15" i="2"/>
  <c r="M15" i="2"/>
  <c r="N15" i="2"/>
  <c r="O15" i="2"/>
  <c r="P15" i="2"/>
  <c r="Q15" i="2"/>
  <c r="J16" i="2"/>
  <c r="K16" i="2"/>
  <c r="L16" i="2"/>
  <c r="M16" i="2"/>
  <c r="N16" i="2"/>
  <c r="O16" i="2"/>
  <c r="P16" i="2"/>
  <c r="Q16" i="2"/>
  <c r="J17" i="2"/>
  <c r="K17" i="2"/>
  <c r="L17" i="2"/>
  <c r="M17" i="2"/>
  <c r="N17" i="2"/>
  <c r="O17" i="2"/>
  <c r="P17" i="2"/>
  <c r="Q17" i="2"/>
  <c r="K10" i="2"/>
  <c r="L10" i="2"/>
  <c r="M10" i="2"/>
  <c r="N10" i="2"/>
  <c r="O10" i="2"/>
  <c r="P10" i="2"/>
  <c r="Q10" i="2"/>
  <c r="J10" i="2"/>
  <c r="C10" i="2"/>
  <c r="D10" i="2"/>
  <c r="E10" i="2"/>
  <c r="F10" i="2"/>
  <c r="G10" i="2"/>
  <c r="H10" i="2"/>
  <c r="I10" i="2"/>
  <c r="C11" i="2"/>
  <c r="D11" i="2"/>
  <c r="E11" i="2"/>
  <c r="F11" i="2"/>
  <c r="G11" i="2"/>
  <c r="H11" i="2"/>
  <c r="I11" i="2"/>
  <c r="C12" i="2"/>
  <c r="D12" i="2"/>
  <c r="E12" i="2"/>
  <c r="F12" i="2"/>
  <c r="G12" i="2"/>
  <c r="H12" i="2"/>
  <c r="I12" i="2"/>
  <c r="C13" i="2"/>
  <c r="D13" i="2"/>
  <c r="E13" i="2"/>
  <c r="F13" i="2"/>
  <c r="G13" i="2"/>
  <c r="H13" i="2"/>
  <c r="I13" i="2"/>
  <c r="C14" i="2"/>
  <c r="D14" i="2"/>
  <c r="E14" i="2"/>
  <c r="F14" i="2"/>
  <c r="G14" i="2"/>
  <c r="H14" i="2"/>
  <c r="I14" i="2"/>
  <c r="C15" i="2"/>
  <c r="D15" i="2"/>
  <c r="E15" i="2"/>
  <c r="F15" i="2"/>
  <c r="G15" i="2"/>
  <c r="H15" i="2"/>
  <c r="I15" i="2"/>
  <c r="C16" i="2"/>
  <c r="D16" i="2"/>
  <c r="E16" i="2"/>
  <c r="F16" i="2"/>
  <c r="G16" i="2"/>
  <c r="H16" i="2"/>
  <c r="I16" i="2"/>
  <c r="C17" i="2"/>
  <c r="D17" i="2"/>
  <c r="E17" i="2"/>
  <c r="F17" i="2"/>
  <c r="G17" i="2"/>
  <c r="H17" i="2"/>
  <c r="I17" i="2"/>
  <c r="B11" i="2"/>
  <c r="B12" i="2"/>
  <c r="B13" i="2"/>
  <c r="B14" i="2"/>
  <c r="B15" i="2"/>
  <c r="B16" i="2"/>
  <c r="B17" i="2"/>
  <c r="B10" i="2"/>
  <c r="J3" i="2"/>
  <c r="K3" i="2"/>
  <c r="L3" i="2"/>
  <c r="M3" i="2"/>
  <c r="N3" i="2"/>
  <c r="O3" i="2"/>
  <c r="P3" i="2"/>
  <c r="Q3" i="2"/>
  <c r="J4" i="2"/>
  <c r="K4" i="2"/>
  <c r="L4" i="2"/>
  <c r="M4" i="2"/>
  <c r="N4" i="2"/>
  <c r="O4" i="2"/>
  <c r="P4" i="2"/>
  <c r="Q4" i="2"/>
  <c r="J5" i="2"/>
  <c r="K5" i="2"/>
  <c r="L5" i="2"/>
  <c r="M5" i="2"/>
  <c r="N5" i="2"/>
  <c r="O5" i="2"/>
  <c r="P5" i="2"/>
  <c r="Q5" i="2"/>
  <c r="J6" i="2"/>
  <c r="K6" i="2"/>
  <c r="L6" i="2"/>
  <c r="M6" i="2"/>
  <c r="N6" i="2"/>
  <c r="O6" i="2"/>
  <c r="P6" i="2"/>
  <c r="Q6" i="2"/>
  <c r="J7" i="2"/>
  <c r="K7" i="2"/>
  <c r="L7" i="2"/>
  <c r="M7" i="2"/>
  <c r="N7" i="2"/>
  <c r="O7" i="2"/>
  <c r="P7" i="2"/>
  <c r="Q7" i="2"/>
  <c r="J8" i="2"/>
  <c r="K8" i="2"/>
  <c r="L8" i="2"/>
  <c r="M8" i="2"/>
  <c r="N8" i="2"/>
  <c r="O8" i="2"/>
  <c r="P8" i="2"/>
  <c r="Q8" i="2"/>
  <c r="J9" i="2"/>
  <c r="K9" i="2"/>
  <c r="L9" i="2"/>
  <c r="M9" i="2"/>
  <c r="N9" i="2"/>
  <c r="O9" i="2"/>
  <c r="P9" i="2"/>
  <c r="Q9" i="2"/>
  <c r="K2" i="2"/>
  <c r="L2" i="2"/>
  <c r="M2" i="2"/>
  <c r="N2" i="2"/>
  <c r="O2" i="2"/>
  <c r="P2" i="2"/>
  <c r="Q2" i="2"/>
  <c r="J2" i="2"/>
  <c r="B3" i="2"/>
  <c r="C3" i="2"/>
  <c r="D3" i="2"/>
  <c r="E3" i="2"/>
  <c r="F3" i="2"/>
  <c r="G3" i="2"/>
  <c r="H3" i="2"/>
  <c r="I3" i="2"/>
  <c r="B4" i="2"/>
  <c r="C4" i="2"/>
  <c r="D4" i="2"/>
  <c r="E4" i="2"/>
  <c r="F4" i="2"/>
  <c r="G4" i="2"/>
  <c r="H4" i="2"/>
  <c r="I4" i="2"/>
  <c r="B5" i="2"/>
  <c r="C5" i="2"/>
  <c r="D5" i="2"/>
  <c r="E5" i="2"/>
  <c r="F5" i="2"/>
  <c r="G5" i="2"/>
  <c r="H5" i="2"/>
  <c r="I5" i="2"/>
  <c r="B6" i="2"/>
  <c r="C6" i="2"/>
  <c r="D6" i="2"/>
  <c r="E6" i="2"/>
  <c r="F6" i="2"/>
  <c r="G6" i="2"/>
  <c r="H6" i="2"/>
  <c r="I6" i="2"/>
  <c r="B7" i="2"/>
  <c r="C7" i="2"/>
  <c r="D7" i="2"/>
  <c r="E7" i="2"/>
  <c r="F7" i="2"/>
  <c r="G7" i="2"/>
  <c r="H7" i="2"/>
  <c r="I7" i="2"/>
  <c r="B8" i="2"/>
  <c r="C8" i="2"/>
  <c r="D8" i="2"/>
  <c r="E8" i="2"/>
  <c r="F8" i="2"/>
  <c r="G8" i="2"/>
  <c r="H8" i="2"/>
  <c r="I8" i="2"/>
  <c r="B9" i="2"/>
  <c r="C9" i="2"/>
  <c r="D9" i="2"/>
  <c r="E9" i="2"/>
  <c r="F9" i="2"/>
  <c r="G9" i="2"/>
  <c r="H9" i="2"/>
  <c r="I9" i="2"/>
  <c r="C2" i="2"/>
  <c r="D2" i="2"/>
  <c r="E2" i="2"/>
  <c r="F2" i="2"/>
  <c r="G2" i="2"/>
  <c r="H2" i="2"/>
  <c r="I2" i="2"/>
  <c r="B3" i="1"/>
  <c r="B2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Q6" i="1"/>
  <c r="P6" i="1"/>
  <c r="O6" i="1"/>
  <c r="N6" i="1"/>
  <c r="M6" i="1"/>
  <c r="L6" i="1"/>
  <c r="K6" i="1"/>
  <c r="J6" i="1"/>
  <c r="I6" i="1"/>
  <c r="H6" i="1"/>
  <c r="G6" i="1"/>
  <c r="F6" i="1"/>
  <c r="E6" i="1"/>
  <c r="D6" i="1"/>
  <c r="C6" i="1"/>
  <c r="B6" i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  <c r="C5" i="1"/>
  <c r="B5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B4" i="1"/>
  <c r="Q3" i="1"/>
  <c r="P3" i="1"/>
  <c r="O3" i="1"/>
  <c r="N3" i="1"/>
  <c r="M3" i="1"/>
  <c r="L3" i="1"/>
  <c r="K3" i="1"/>
  <c r="J3" i="1"/>
  <c r="I3" i="1"/>
  <c r="H3" i="1"/>
  <c r="G3" i="1"/>
  <c r="F3" i="1"/>
  <c r="E3" i="1"/>
  <c r="D3" i="1"/>
  <c r="C3" i="1"/>
  <c r="Q2" i="1"/>
  <c r="P2" i="1"/>
  <c r="O2" i="1"/>
  <c r="N2" i="1"/>
  <c r="M2" i="1"/>
  <c r="L2" i="1"/>
  <c r="K2" i="1"/>
  <c r="J2" i="1"/>
  <c r="I2" i="1"/>
  <c r="H2" i="1"/>
  <c r="G2" i="1"/>
  <c r="F2" i="1"/>
  <c r="E2" i="1"/>
  <c r="D2" i="1"/>
  <c r="C2" i="1"/>
  <c r="D2" i="3" l="1"/>
  <c r="C4" i="3"/>
  <c r="B7" i="3"/>
  <c r="F9" i="3"/>
  <c r="B2" i="3"/>
  <c r="F4" i="3"/>
  <c r="C7" i="3"/>
  <c r="C2" i="3"/>
  <c r="B5" i="3"/>
  <c r="F7" i="3"/>
  <c r="F2" i="3"/>
  <c r="C5" i="3"/>
  <c r="B8" i="3"/>
  <c r="F6" i="3"/>
  <c r="B3" i="3"/>
  <c r="F5" i="3"/>
  <c r="C8" i="3"/>
  <c r="C9" i="3"/>
  <c r="C3" i="3"/>
  <c r="B6" i="3"/>
  <c r="F8" i="3"/>
  <c r="B4" i="3"/>
  <c r="F3" i="3"/>
  <c r="C6" i="3"/>
  <c r="B9" i="3"/>
  <c r="B10" i="3" a="1"/>
  <c r="G17" i="3" s="1"/>
  <c r="J2" i="3" a="1"/>
  <c r="K2" i="3" s="1"/>
  <c r="J10" i="3" a="1"/>
  <c r="K10" i="3" s="1"/>
  <c r="I9" i="3"/>
  <c r="I7" i="3"/>
  <c r="I5" i="3"/>
  <c r="I2" i="3"/>
  <c r="H9" i="3"/>
  <c r="H8" i="3"/>
  <c r="H7" i="3"/>
  <c r="H6" i="3"/>
  <c r="H5" i="3"/>
  <c r="H4" i="3"/>
  <c r="H3" i="3"/>
  <c r="H2" i="3"/>
  <c r="I8" i="3"/>
  <c r="I6" i="3"/>
  <c r="I4" i="3"/>
  <c r="I3" i="3"/>
  <c r="G9" i="3"/>
  <c r="G8" i="3"/>
  <c r="G7" i="3"/>
  <c r="G6" i="3"/>
  <c r="G5" i="3"/>
  <c r="G4" i="3"/>
  <c r="G3" i="3"/>
  <c r="G2" i="3"/>
  <c r="E9" i="3"/>
  <c r="E8" i="3"/>
  <c r="E7" i="3"/>
  <c r="E6" i="3"/>
  <c r="E5" i="3"/>
  <c r="E4" i="3"/>
  <c r="E3" i="3"/>
  <c r="E2" i="3"/>
  <c r="D9" i="3"/>
  <c r="D8" i="3"/>
  <c r="D7" i="3"/>
  <c r="D6" i="3"/>
  <c r="D5" i="3"/>
  <c r="D4" i="3"/>
  <c r="D3" i="3"/>
  <c r="B20" i="2" a="1"/>
  <c r="J27" i="2" s="1"/>
  <c r="F11" i="3" l="1"/>
  <c r="E17" i="3"/>
  <c r="F17" i="3"/>
  <c r="C15" i="3"/>
  <c r="G11" i="3"/>
  <c r="H17" i="3"/>
  <c r="D10" i="3"/>
  <c r="I10" i="3"/>
  <c r="B17" i="3"/>
  <c r="D17" i="3"/>
  <c r="I17" i="3"/>
  <c r="E16" i="3"/>
  <c r="H10" i="3"/>
  <c r="B14" i="3"/>
  <c r="D14" i="3"/>
  <c r="E13" i="3"/>
  <c r="F14" i="3"/>
  <c r="H14" i="3"/>
  <c r="I14" i="3"/>
  <c r="C10" i="3"/>
  <c r="C16" i="3"/>
  <c r="B15" i="3"/>
  <c r="D15" i="3"/>
  <c r="E14" i="3"/>
  <c r="F15" i="3"/>
  <c r="H15" i="3"/>
  <c r="I15" i="3"/>
  <c r="C17" i="3"/>
  <c r="C12" i="3"/>
  <c r="B11" i="3"/>
  <c r="D11" i="3"/>
  <c r="E10" i="3"/>
  <c r="F10" i="3"/>
  <c r="H11" i="3"/>
  <c r="I11" i="3"/>
  <c r="C14" i="3"/>
  <c r="G13" i="3"/>
  <c r="B12" i="3"/>
  <c r="D12" i="3"/>
  <c r="E11" i="3"/>
  <c r="F12" i="3"/>
  <c r="H12" i="3"/>
  <c r="I12" i="3"/>
  <c r="C11" i="3"/>
  <c r="G16" i="3"/>
  <c r="B10" i="3"/>
  <c r="B13" i="3"/>
  <c r="D13" i="3"/>
  <c r="E12" i="3"/>
  <c r="F13" i="3"/>
  <c r="H13" i="3"/>
  <c r="I13" i="3"/>
  <c r="G14" i="3"/>
  <c r="G12" i="3"/>
  <c r="B16" i="3"/>
  <c r="D16" i="3"/>
  <c r="E15" i="3"/>
  <c r="F16" i="3"/>
  <c r="H16" i="3"/>
  <c r="I16" i="3"/>
  <c r="C13" i="3"/>
  <c r="G15" i="3"/>
  <c r="G10" i="3"/>
  <c r="K3" i="3"/>
  <c r="O3" i="3"/>
  <c r="K13" i="3"/>
  <c r="O13" i="3"/>
  <c r="J7" i="3"/>
  <c r="K4" i="3"/>
  <c r="O4" i="3"/>
  <c r="L11" i="3"/>
  <c r="O14" i="3"/>
  <c r="J14" i="3"/>
  <c r="P14" i="3"/>
  <c r="J3" i="3"/>
  <c r="Q8" i="3"/>
  <c r="K5" i="3"/>
  <c r="L5" i="3"/>
  <c r="N7" i="3"/>
  <c r="M8" i="3"/>
  <c r="O5" i="3"/>
  <c r="P5" i="3"/>
  <c r="K15" i="3"/>
  <c r="N12" i="3"/>
  <c r="L12" i="3"/>
  <c r="M14" i="3"/>
  <c r="O15" i="3"/>
  <c r="Q15" i="3"/>
  <c r="J15" i="3"/>
  <c r="P15" i="3"/>
  <c r="Q6" i="3"/>
  <c r="Q4" i="3"/>
  <c r="M4" i="3"/>
  <c r="P9" i="3"/>
  <c r="M13" i="3"/>
  <c r="L16" i="3"/>
  <c r="J11" i="3"/>
  <c r="P11" i="3"/>
  <c r="M5" i="3"/>
  <c r="N17" i="3"/>
  <c r="Q12" i="3"/>
  <c r="Q3" i="3"/>
  <c r="N4" i="3"/>
  <c r="M17" i="3"/>
  <c r="P13" i="3"/>
  <c r="N5" i="3"/>
  <c r="M12" i="3"/>
  <c r="K6" i="3"/>
  <c r="L6" i="3"/>
  <c r="N9" i="3"/>
  <c r="M9" i="3"/>
  <c r="O6" i="3"/>
  <c r="P6" i="3"/>
  <c r="K16" i="3"/>
  <c r="N13" i="3"/>
  <c r="L13" i="3"/>
  <c r="M16" i="3"/>
  <c r="O16" i="3"/>
  <c r="Q16" i="3"/>
  <c r="J16" i="3"/>
  <c r="P16" i="3"/>
  <c r="Q2" i="3"/>
  <c r="J8" i="3"/>
  <c r="L9" i="3"/>
  <c r="O9" i="3"/>
  <c r="O11" i="3"/>
  <c r="Q9" i="3"/>
  <c r="L2" i="3"/>
  <c r="O2" i="3"/>
  <c r="K12" i="3"/>
  <c r="L17" i="3"/>
  <c r="J12" i="3"/>
  <c r="Q5" i="3"/>
  <c r="M6" i="3"/>
  <c r="M10" i="3"/>
  <c r="J5" i="3"/>
  <c r="P4" i="3"/>
  <c r="N10" i="3"/>
  <c r="K7" i="3"/>
  <c r="M2" i="3"/>
  <c r="N2" i="3"/>
  <c r="O7" i="3"/>
  <c r="P7" i="3"/>
  <c r="K17" i="3"/>
  <c r="N14" i="3"/>
  <c r="L14" i="3"/>
  <c r="N11" i="3"/>
  <c r="O17" i="3"/>
  <c r="Q17" i="3"/>
  <c r="J17" i="3"/>
  <c r="P17" i="3"/>
  <c r="J6" i="3"/>
  <c r="J4" i="3"/>
  <c r="K9" i="3"/>
  <c r="N8" i="3"/>
  <c r="K11" i="3"/>
  <c r="N16" i="3"/>
  <c r="Q11" i="3"/>
  <c r="Q7" i="3"/>
  <c r="N3" i="3"/>
  <c r="P2" i="3"/>
  <c r="M15" i="3"/>
  <c r="O12" i="3"/>
  <c r="P12" i="3"/>
  <c r="L3" i="3"/>
  <c r="P3" i="3"/>
  <c r="L10" i="3"/>
  <c r="Q13" i="3"/>
  <c r="J13" i="3"/>
  <c r="L4" i="3"/>
  <c r="M7" i="3"/>
  <c r="K14" i="3"/>
  <c r="Q14" i="3"/>
  <c r="L7" i="3"/>
  <c r="K8" i="3"/>
  <c r="L8" i="3"/>
  <c r="M3" i="3"/>
  <c r="N6" i="3"/>
  <c r="O8" i="3"/>
  <c r="P8" i="3"/>
  <c r="M11" i="3"/>
  <c r="N15" i="3"/>
  <c r="L15" i="3"/>
  <c r="O10" i="3"/>
  <c r="Q10" i="3"/>
  <c r="J10" i="3"/>
  <c r="P10" i="3"/>
  <c r="J9" i="3"/>
  <c r="J2" i="3"/>
  <c r="L22" i="2"/>
  <c r="D28" i="2"/>
  <c r="L34" i="2"/>
  <c r="M24" i="2"/>
  <c r="M30" i="2"/>
  <c r="N20" i="2"/>
  <c r="G20" i="2"/>
  <c r="O25" i="2"/>
  <c r="G32" i="2"/>
  <c r="P21" i="2"/>
  <c r="P27" i="2"/>
  <c r="P33" i="2"/>
  <c r="Q24" i="2"/>
  <c r="I30" i="2"/>
  <c r="J20" i="2"/>
  <c r="B27" i="2"/>
  <c r="D23" i="2"/>
  <c r="D29" i="2"/>
  <c r="L35" i="2"/>
  <c r="E25" i="2"/>
  <c r="M31" i="2"/>
  <c r="N21" i="2"/>
  <c r="O20" i="2"/>
  <c r="O26" i="2"/>
  <c r="G33" i="2"/>
  <c r="H22" i="2"/>
  <c r="P28" i="2"/>
  <c r="H35" i="2"/>
  <c r="I25" i="2"/>
  <c r="Q31" i="2"/>
  <c r="B22" i="2"/>
  <c r="B28" i="2"/>
  <c r="L26" i="2"/>
  <c r="D32" i="2"/>
  <c r="M22" i="2"/>
  <c r="M28" i="2"/>
  <c r="M34" i="2"/>
  <c r="N24" i="2"/>
  <c r="G24" i="2"/>
  <c r="O29" i="2"/>
  <c r="Q20" i="2"/>
  <c r="P25" i="2"/>
  <c r="P31" i="2"/>
  <c r="I22" i="2"/>
  <c r="Q28" i="2"/>
  <c r="I34" i="2"/>
  <c r="B25" i="2"/>
  <c r="B31" i="2"/>
  <c r="L20" i="2"/>
  <c r="D27" i="2"/>
  <c r="L32" i="2"/>
  <c r="E23" i="2"/>
  <c r="E29" i="2"/>
  <c r="E35" i="2"/>
  <c r="F25" i="2"/>
  <c r="O24" i="2"/>
  <c r="G30" i="2"/>
  <c r="H20" i="2"/>
  <c r="H26" i="2"/>
  <c r="H32" i="2"/>
  <c r="Q22" i="2"/>
  <c r="I29" i="2"/>
  <c r="Q34" i="2"/>
  <c r="J25" i="2"/>
  <c r="L21" i="2"/>
  <c r="E24" i="2"/>
  <c r="N26" i="2"/>
  <c r="O31" i="2"/>
  <c r="I24" i="2"/>
  <c r="L23" i="2"/>
  <c r="L29" i="2"/>
  <c r="E20" i="2"/>
  <c r="M25" i="2"/>
  <c r="E32" i="2"/>
  <c r="N22" i="2"/>
  <c r="G21" i="2"/>
  <c r="O27" i="2"/>
  <c r="O33" i="2"/>
  <c r="H23" i="2"/>
  <c r="H29" i="2"/>
  <c r="P35" i="2"/>
  <c r="Q25" i="2"/>
  <c r="I32" i="2"/>
  <c r="J22" i="2"/>
  <c r="J28" i="2"/>
  <c r="L27" i="2"/>
  <c r="L33" i="2"/>
  <c r="M29" i="2"/>
  <c r="F20" i="2"/>
  <c r="G25" i="2"/>
  <c r="H21" i="2"/>
  <c r="H27" i="2"/>
  <c r="H33" i="2"/>
  <c r="Q29" i="2"/>
  <c r="B20" i="2"/>
  <c r="J26" i="2"/>
  <c r="L24" i="2"/>
  <c r="D31" i="2"/>
  <c r="M20" i="2"/>
  <c r="E27" i="2"/>
  <c r="E33" i="2"/>
  <c r="F23" i="2"/>
  <c r="G22" i="2"/>
  <c r="O28" i="2"/>
  <c r="G34" i="2"/>
  <c r="H24" i="2"/>
  <c r="H30" i="2"/>
  <c r="I20" i="2"/>
  <c r="Q26" i="2"/>
  <c r="I33" i="2"/>
  <c r="B23" i="2"/>
  <c r="J29" i="2"/>
  <c r="D25" i="2"/>
  <c r="L31" i="2"/>
  <c r="E21" i="2"/>
  <c r="M27" i="2"/>
  <c r="M33" i="2"/>
  <c r="N23" i="2"/>
  <c r="O22" i="2"/>
  <c r="G29" i="2"/>
  <c r="O34" i="2"/>
  <c r="P24" i="2"/>
  <c r="H31" i="2"/>
  <c r="I21" i="2"/>
  <c r="Q27" i="2"/>
  <c r="Q33" i="2"/>
  <c r="B24" i="2"/>
  <c r="B30" i="2"/>
  <c r="D24" i="2"/>
  <c r="L28" i="2"/>
  <c r="D33" i="2"/>
  <c r="M21" i="2"/>
  <c r="M26" i="2"/>
  <c r="E31" i="2"/>
  <c r="M35" i="2"/>
  <c r="F24" i="2"/>
  <c r="O21" i="2"/>
  <c r="G26" i="2"/>
  <c r="O30" i="2"/>
  <c r="O35" i="2"/>
  <c r="P23" i="2"/>
  <c r="H28" i="2"/>
  <c r="P32" i="2"/>
  <c r="Q21" i="2"/>
  <c r="I26" i="2"/>
  <c r="Q30" i="2"/>
  <c r="Q35" i="2"/>
  <c r="J24" i="2"/>
  <c r="B29" i="2"/>
  <c r="D21" i="2"/>
  <c r="L25" i="2"/>
  <c r="L30" i="2"/>
  <c r="D35" i="2"/>
  <c r="M23" i="2"/>
  <c r="E28" i="2"/>
  <c r="M32" i="2"/>
  <c r="F21" i="2"/>
  <c r="N25" i="2"/>
  <c r="O23" i="2"/>
  <c r="G28" i="2"/>
  <c r="O32" i="2"/>
  <c r="P20" i="2"/>
  <c r="H25" i="2"/>
  <c r="P29" i="2"/>
  <c r="H34" i="2"/>
  <c r="Q23" i="2"/>
  <c r="I28" i="2"/>
  <c r="Q32" i="2"/>
  <c r="J21" i="2"/>
  <c r="B26" i="2"/>
  <c r="J30" i="2"/>
  <c r="D22" i="2"/>
  <c r="D26" i="2"/>
  <c r="D30" i="2"/>
  <c r="D34" i="2"/>
  <c r="E22" i="2"/>
  <c r="E26" i="2"/>
  <c r="E30" i="2"/>
  <c r="E34" i="2"/>
  <c r="F22" i="2"/>
  <c r="F26" i="2"/>
  <c r="G23" i="2"/>
  <c r="G27" i="2"/>
  <c r="G31" i="2"/>
  <c r="G35" i="2"/>
  <c r="P22" i="2"/>
  <c r="P26" i="2"/>
  <c r="P30" i="2"/>
  <c r="P34" i="2"/>
  <c r="I23" i="2"/>
  <c r="I27" i="2"/>
  <c r="I31" i="2"/>
  <c r="I35" i="2"/>
  <c r="J23" i="2"/>
  <c r="D20" i="2"/>
  <c r="K20" i="2"/>
  <c r="C24" i="2"/>
  <c r="K27" i="2"/>
  <c r="K29" i="2"/>
  <c r="J31" i="2"/>
  <c r="N32" i="2"/>
  <c r="C34" i="2"/>
  <c r="J35" i="2"/>
  <c r="B21" i="2"/>
  <c r="K24" i="2"/>
  <c r="N27" i="2"/>
  <c r="N29" i="2"/>
  <c r="K31" i="2"/>
  <c r="B33" i="2"/>
  <c r="F34" i="2"/>
  <c r="K35" i="2"/>
  <c r="C21" i="2"/>
  <c r="C25" i="2"/>
  <c r="C28" i="2"/>
  <c r="C30" i="2"/>
  <c r="N31" i="2"/>
  <c r="C33" i="2"/>
  <c r="N35" i="2"/>
  <c r="K21" i="2"/>
  <c r="K25" i="2"/>
  <c r="F28" i="2"/>
  <c r="F30" i="2"/>
  <c r="B32" i="2"/>
  <c r="F33" i="2"/>
  <c r="K34" i="2"/>
  <c r="C22" i="2"/>
  <c r="C26" i="2"/>
  <c r="K28" i="2"/>
  <c r="K30" i="2"/>
  <c r="C32" i="2"/>
  <c r="J33" i="2"/>
  <c r="N34" i="2"/>
  <c r="J34" i="2"/>
  <c r="K22" i="2"/>
  <c r="K26" i="2"/>
  <c r="N28" i="2"/>
  <c r="N30" i="2"/>
  <c r="F32" i="2"/>
  <c r="K33" i="2"/>
  <c r="B35" i="2"/>
  <c r="C23" i="2"/>
  <c r="C27" i="2"/>
  <c r="C29" i="2"/>
  <c r="C31" i="2"/>
  <c r="J32" i="2"/>
  <c r="N33" i="2"/>
  <c r="C35" i="2"/>
  <c r="C20" i="2"/>
  <c r="K23" i="2"/>
  <c r="F27" i="2"/>
  <c r="F29" i="2"/>
  <c r="F31" i="2"/>
  <c r="K32" i="2"/>
  <c r="B34" i="2"/>
  <c r="F35" i="2"/>
  <c r="AA10" i="3" l="1" a="1"/>
  <c r="AC11" i="3" s="1"/>
  <c r="L11" i="5" s="1"/>
  <c r="L31" i="6" s="1"/>
  <c r="AA2" i="3" a="1"/>
  <c r="AE5" i="3" s="1"/>
  <c r="N5" i="5" s="1"/>
  <c r="N25" i="6" s="1"/>
  <c r="S10" i="3" a="1"/>
  <c r="S2" i="3" a="1"/>
  <c r="AD5" i="3" l="1"/>
  <c r="M5" i="5" s="1"/>
  <c r="M25" i="6" s="1"/>
  <c r="AF5" i="3"/>
  <c r="O5" i="5" s="1"/>
  <c r="O25" i="6" s="1"/>
  <c r="AE3" i="3"/>
  <c r="N3" i="5" s="1"/>
  <c r="N23" i="6" s="1"/>
  <c r="AG5" i="3"/>
  <c r="P5" i="5" s="1"/>
  <c r="P25" i="6" s="1"/>
  <c r="AH9" i="3"/>
  <c r="Q9" i="5" s="1"/>
  <c r="Q29" i="6" s="1"/>
  <c r="AE7" i="3"/>
  <c r="N7" i="5" s="1"/>
  <c r="N27" i="6" s="1"/>
  <c r="AD7" i="3"/>
  <c r="M7" i="5" s="1"/>
  <c r="M27" i="6" s="1"/>
  <c r="AG3" i="3"/>
  <c r="P3" i="5" s="1"/>
  <c r="P23" i="6" s="1"/>
  <c r="AE9" i="3"/>
  <c r="N9" i="5" s="1"/>
  <c r="N29" i="6" s="1"/>
  <c r="AC7" i="3"/>
  <c r="L7" i="5" s="1"/>
  <c r="L27" i="6" s="1"/>
  <c r="AB5" i="3"/>
  <c r="K5" i="5" s="1"/>
  <c r="K25" i="6" s="1"/>
  <c r="AF7" i="3"/>
  <c r="O7" i="5" s="1"/>
  <c r="O27" i="6" s="1"/>
  <c r="AD4" i="3"/>
  <c r="M4" i="5" s="1"/>
  <c r="M24" i="6" s="1"/>
  <c r="AA8" i="3"/>
  <c r="J8" i="5" s="1"/>
  <c r="J28" i="6" s="1"/>
  <c r="AH5" i="3"/>
  <c r="Q5" i="5" s="1"/>
  <c r="Q25" i="6" s="1"/>
  <c r="AF9" i="3"/>
  <c r="O9" i="5" s="1"/>
  <c r="O29" i="6" s="1"/>
  <c r="AE2" i="3"/>
  <c r="N2" i="5" s="1"/>
  <c r="N22" i="6" s="1"/>
  <c r="AG9" i="3"/>
  <c r="P9" i="5" s="1"/>
  <c r="P29" i="6" s="1"/>
  <c r="AB9" i="3"/>
  <c r="K9" i="5" s="1"/>
  <c r="K29" i="6" s="1"/>
  <c r="AD2" i="3"/>
  <c r="M2" i="5" s="1"/>
  <c r="M22" i="6" s="1"/>
  <c r="AG7" i="3"/>
  <c r="P7" i="5" s="1"/>
  <c r="P27" i="6" s="1"/>
  <c r="AF4" i="3"/>
  <c r="O4" i="5" s="1"/>
  <c r="O24" i="6" s="1"/>
  <c r="AC6" i="3"/>
  <c r="L6" i="5" s="1"/>
  <c r="L26" i="6" s="1"/>
  <c r="AB4" i="3"/>
  <c r="K4" i="5" s="1"/>
  <c r="K24" i="6" s="1"/>
  <c r="AC2" i="3"/>
  <c r="L2" i="5" s="1"/>
  <c r="L22" i="6" s="1"/>
  <c r="AG4" i="3"/>
  <c r="P4" i="5" s="1"/>
  <c r="P24" i="6" s="1"/>
  <c r="AH4" i="3"/>
  <c r="Q4" i="5" s="1"/>
  <c r="Q24" i="6" s="1"/>
  <c r="AE8" i="3"/>
  <c r="N8" i="5" s="1"/>
  <c r="N28" i="6" s="1"/>
  <c r="AD9" i="3"/>
  <c r="M9" i="5" s="1"/>
  <c r="M29" i="6" s="1"/>
  <c r="AH6" i="3"/>
  <c r="Q6" i="5" s="1"/>
  <c r="Q26" i="6" s="1"/>
  <c r="AE4" i="3"/>
  <c r="N4" i="5" s="1"/>
  <c r="N24" i="6" s="1"/>
  <c r="AA2" i="3"/>
  <c r="J2" i="5" s="1"/>
  <c r="J22" i="6" s="1"/>
  <c r="AC13" i="3"/>
  <c r="L13" i="5" s="1"/>
  <c r="L33" i="6" s="1"/>
  <c r="AD14" i="3"/>
  <c r="M14" i="5" s="1"/>
  <c r="M34" i="6" s="1"/>
  <c r="AH13" i="3"/>
  <c r="Q13" i="5" s="1"/>
  <c r="Q33" i="6" s="1"/>
  <c r="AD6" i="3"/>
  <c r="M6" i="5" s="1"/>
  <c r="M26" i="6" s="1"/>
  <c r="AD8" i="3"/>
  <c r="M8" i="5" s="1"/>
  <c r="M28" i="6" s="1"/>
  <c r="AF2" i="3"/>
  <c r="O2" i="5" s="1"/>
  <c r="O22" i="6" s="1"/>
  <c r="AH8" i="3"/>
  <c r="Q8" i="5" s="1"/>
  <c r="Q28" i="6" s="1"/>
  <c r="AB8" i="3"/>
  <c r="K8" i="5" s="1"/>
  <c r="K28" i="6" s="1"/>
  <c r="AH2" i="3"/>
  <c r="Q2" i="5" s="1"/>
  <c r="Q22" i="6" s="1"/>
  <c r="AA6" i="3"/>
  <c r="J6" i="5" s="1"/>
  <c r="J26" i="6" s="1"/>
  <c r="AA7" i="3"/>
  <c r="J7" i="5" s="1"/>
  <c r="J27" i="6" s="1"/>
  <c r="AC12" i="3"/>
  <c r="L12" i="5" s="1"/>
  <c r="L32" i="6" s="1"/>
  <c r="AD12" i="3"/>
  <c r="M12" i="5" s="1"/>
  <c r="M32" i="6" s="1"/>
  <c r="AD13" i="3"/>
  <c r="M13" i="5" s="1"/>
  <c r="M33" i="6" s="1"/>
  <c r="AE13" i="3"/>
  <c r="N13" i="5" s="1"/>
  <c r="N33" i="6" s="1"/>
  <c r="AE14" i="3"/>
  <c r="N14" i="5" s="1"/>
  <c r="N34" i="6" s="1"/>
  <c r="AE15" i="3"/>
  <c r="N15" i="5" s="1"/>
  <c r="N35" i="6" s="1"/>
  <c r="AE16" i="3"/>
  <c r="N16" i="5" s="1"/>
  <c r="N36" i="6" s="1"/>
  <c r="AE17" i="3"/>
  <c r="N17" i="5" s="1"/>
  <c r="N37" i="6" s="1"/>
  <c r="AB14" i="3"/>
  <c r="K14" i="5" s="1"/>
  <c r="K34" i="6" s="1"/>
  <c r="AD10" i="3"/>
  <c r="M10" i="5" s="1"/>
  <c r="M30" i="6" s="1"/>
  <c r="AD16" i="3"/>
  <c r="M16" i="5" s="1"/>
  <c r="M36" i="6" s="1"/>
  <c r="AF6" i="3"/>
  <c r="O6" i="5" s="1"/>
  <c r="O26" i="6" s="1"/>
  <c r="AF8" i="3"/>
  <c r="O8" i="5" s="1"/>
  <c r="O28" i="6" s="1"/>
  <c r="AG2" i="3"/>
  <c r="P2" i="5" s="1"/>
  <c r="P22" i="6" s="1"/>
  <c r="AB7" i="3"/>
  <c r="K7" i="5" s="1"/>
  <c r="K27" i="6" s="1"/>
  <c r="AE6" i="3"/>
  <c r="N6" i="5" s="1"/>
  <c r="N26" i="6" s="1"/>
  <c r="AC9" i="3"/>
  <c r="L9" i="5" s="1"/>
  <c r="L29" i="6" s="1"/>
  <c r="AC4" i="3"/>
  <c r="L4" i="5" s="1"/>
  <c r="L24" i="6" s="1"/>
  <c r="AC5" i="3"/>
  <c r="L5" i="5" s="1"/>
  <c r="L25" i="6" s="1"/>
  <c r="AD11" i="3"/>
  <c r="M11" i="5" s="1"/>
  <c r="M31" i="6" s="1"/>
  <c r="AE11" i="3"/>
  <c r="N11" i="5" s="1"/>
  <c r="N31" i="6" s="1"/>
  <c r="AE12" i="3"/>
  <c r="N12" i="5" s="1"/>
  <c r="N32" i="6" s="1"/>
  <c r="AF13" i="3"/>
  <c r="O13" i="5" s="1"/>
  <c r="O33" i="6" s="1"/>
  <c r="AF14" i="3"/>
  <c r="O14" i="5" s="1"/>
  <c r="O34" i="6" s="1"/>
  <c r="AF15" i="3"/>
  <c r="O15" i="5" s="1"/>
  <c r="O35" i="6" s="1"/>
  <c r="AF16" i="3"/>
  <c r="O16" i="5" s="1"/>
  <c r="O36" i="6" s="1"/>
  <c r="AF17" i="3"/>
  <c r="O17" i="5" s="1"/>
  <c r="O37" i="6" s="1"/>
  <c r="AA15" i="3"/>
  <c r="J15" i="5" s="1"/>
  <c r="J35" i="6" s="1"/>
  <c r="AC15" i="3"/>
  <c r="L15" i="5" s="1"/>
  <c r="L35" i="6" s="1"/>
  <c r="AC16" i="3"/>
  <c r="L16" i="5" s="1"/>
  <c r="L36" i="6" s="1"/>
  <c r="AH14" i="3"/>
  <c r="Q14" i="5" s="1"/>
  <c r="Q34" i="6" s="1"/>
  <c r="AB13" i="3"/>
  <c r="K13" i="5" s="1"/>
  <c r="K33" i="6" s="1"/>
  <c r="AC14" i="3"/>
  <c r="L14" i="5" s="1"/>
  <c r="L34" i="6" s="1"/>
  <c r="AD15" i="3"/>
  <c r="M15" i="5" s="1"/>
  <c r="M35" i="6" s="1"/>
  <c r="AD17" i="3"/>
  <c r="M17" i="5" s="1"/>
  <c r="M37" i="6" s="1"/>
  <c r="AG6" i="3"/>
  <c r="P6" i="5" s="1"/>
  <c r="P26" i="6" s="1"/>
  <c r="AG8" i="3"/>
  <c r="P8" i="5" s="1"/>
  <c r="P28" i="6" s="1"/>
  <c r="AD3" i="3"/>
  <c r="M3" i="5" s="1"/>
  <c r="M23" i="6" s="1"/>
  <c r="AA4" i="3"/>
  <c r="J4" i="5" s="1"/>
  <c r="J24" i="6" s="1"/>
  <c r="AA5" i="3"/>
  <c r="J5" i="5" s="1"/>
  <c r="J25" i="6" s="1"/>
  <c r="AH7" i="3"/>
  <c r="Q7" i="5" s="1"/>
  <c r="Q27" i="6" s="1"/>
  <c r="AB2" i="3"/>
  <c r="K2" i="5" s="1"/>
  <c r="K22" i="6" s="1"/>
  <c r="AH3" i="3"/>
  <c r="Q3" i="5" s="1"/>
  <c r="Q23" i="6" s="1"/>
  <c r="AG17" i="3"/>
  <c r="P17" i="5" s="1"/>
  <c r="P37" i="6" s="1"/>
  <c r="AF11" i="3"/>
  <c r="O11" i="5" s="1"/>
  <c r="O31" i="6" s="1"/>
  <c r="AF12" i="3"/>
  <c r="O12" i="5" s="1"/>
  <c r="O32" i="6" s="1"/>
  <c r="AG12" i="3"/>
  <c r="P12" i="5" s="1"/>
  <c r="P32" i="6" s="1"/>
  <c r="AG13" i="3"/>
  <c r="P13" i="5" s="1"/>
  <c r="P33" i="6" s="1"/>
  <c r="AG14" i="3"/>
  <c r="P14" i="5" s="1"/>
  <c r="P34" i="6" s="1"/>
  <c r="AG15" i="3"/>
  <c r="P15" i="5" s="1"/>
  <c r="P35" i="6" s="1"/>
  <c r="AG16" i="3"/>
  <c r="P16" i="5" s="1"/>
  <c r="P36" i="6" s="1"/>
  <c r="AB15" i="3"/>
  <c r="K15" i="5" s="1"/>
  <c r="K35" i="6" s="1"/>
  <c r="AC17" i="3"/>
  <c r="L17" i="5" s="1"/>
  <c r="L37" i="6" s="1"/>
  <c r="AA3" i="3"/>
  <c r="J3" i="5" s="1"/>
  <c r="J23" i="6" s="1"/>
  <c r="AC3" i="3"/>
  <c r="L3" i="5" s="1"/>
  <c r="L23" i="6" s="1"/>
  <c r="AF3" i="3"/>
  <c r="O3" i="5" s="1"/>
  <c r="O23" i="6" s="1"/>
  <c r="AC8" i="3"/>
  <c r="L8" i="5" s="1"/>
  <c r="L28" i="6" s="1"/>
  <c r="AB3" i="3"/>
  <c r="K3" i="5" s="1"/>
  <c r="K23" i="6" s="1"/>
  <c r="AB6" i="3"/>
  <c r="K6" i="5" s="1"/>
  <c r="K26" i="6" s="1"/>
  <c r="AA9" i="3"/>
  <c r="J9" i="5" s="1"/>
  <c r="J29" i="6" s="1"/>
  <c r="AE10" i="3"/>
  <c r="N10" i="5" s="1"/>
  <c r="N30" i="6" s="1"/>
  <c r="AG10" i="3"/>
  <c r="P10" i="5" s="1"/>
  <c r="P30" i="6" s="1"/>
  <c r="AG11" i="3"/>
  <c r="P11" i="5" s="1"/>
  <c r="P31" i="6" s="1"/>
  <c r="AA11" i="3"/>
  <c r="J11" i="5" s="1"/>
  <c r="J31" i="6" s="1"/>
  <c r="AA12" i="3"/>
  <c r="J12" i="5" s="1"/>
  <c r="J32" i="6" s="1"/>
  <c r="AA13" i="3"/>
  <c r="J13" i="5" s="1"/>
  <c r="J33" i="6" s="1"/>
  <c r="AA14" i="3"/>
  <c r="J14" i="5" s="1"/>
  <c r="J34" i="6" s="1"/>
  <c r="AH12" i="3"/>
  <c r="Q12" i="5" s="1"/>
  <c r="Q32" i="6" s="1"/>
  <c r="AF10" i="3"/>
  <c r="O10" i="5" s="1"/>
  <c r="O30" i="6" s="1"/>
  <c r="AH10" i="3"/>
  <c r="Q10" i="5" s="1"/>
  <c r="Q30" i="6" s="1"/>
  <c r="AH16" i="3"/>
  <c r="Q16" i="5" s="1"/>
  <c r="Q36" i="6" s="1"/>
  <c r="AH17" i="3"/>
  <c r="Q17" i="5" s="1"/>
  <c r="Q37" i="6" s="1"/>
  <c r="AB10" i="3"/>
  <c r="K10" i="5" s="1"/>
  <c r="K30" i="6" s="1"/>
  <c r="AB11" i="3"/>
  <c r="K11" i="5" s="1"/>
  <c r="K31" i="6" s="1"/>
  <c r="AB12" i="3"/>
  <c r="K12" i="5" s="1"/>
  <c r="K32" i="6" s="1"/>
  <c r="AA10" i="3"/>
  <c r="J10" i="5" s="1"/>
  <c r="J30" i="6" s="1"/>
  <c r="AH11" i="3"/>
  <c r="Q11" i="5" s="1"/>
  <c r="Q31" i="6" s="1"/>
  <c r="AA16" i="3"/>
  <c r="J16" i="5" s="1"/>
  <c r="J36" i="6" s="1"/>
  <c r="AA17" i="3"/>
  <c r="J17" i="5" s="1"/>
  <c r="J37" i="6" s="1"/>
  <c r="AB16" i="3"/>
  <c r="K16" i="5" s="1"/>
  <c r="K36" i="6" s="1"/>
  <c r="AB17" i="3"/>
  <c r="K17" i="5" s="1"/>
  <c r="K37" i="6" s="1"/>
  <c r="AH15" i="3"/>
  <c r="Q15" i="5" s="1"/>
  <c r="Q35" i="6" s="1"/>
  <c r="AC10" i="3"/>
  <c r="L10" i="5" s="1"/>
  <c r="L30" i="6" s="1"/>
  <c r="Z2" i="3"/>
  <c r="I2" i="5" s="1"/>
  <c r="I22" i="6" s="1"/>
  <c r="Y7" i="3"/>
  <c r="H7" i="5" s="1"/>
  <c r="H27" i="6" s="1"/>
  <c r="X7" i="3"/>
  <c r="G7" i="5" s="1"/>
  <c r="G27" i="6" s="1"/>
  <c r="W3" i="3"/>
  <c r="F3" i="5" s="1"/>
  <c r="F23" i="6" s="1"/>
  <c r="V4" i="3"/>
  <c r="E4" i="5" s="1"/>
  <c r="E24" i="6" s="1"/>
  <c r="U5" i="3"/>
  <c r="D5" i="5" s="1"/>
  <c r="D25" i="6" s="1"/>
  <c r="T6" i="3"/>
  <c r="C6" i="5" s="1"/>
  <c r="C26" i="6" s="1"/>
  <c r="S7" i="3"/>
  <c r="B7" i="5" s="1"/>
  <c r="B27" i="6" s="1"/>
  <c r="Z7" i="3"/>
  <c r="I7" i="5" s="1"/>
  <c r="I27" i="6" s="1"/>
  <c r="Y6" i="3"/>
  <c r="H6" i="5" s="1"/>
  <c r="H26" i="6" s="1"/>
  <c r="X3" i="3"/>
  <c r="G3" i="5" s="1"/>
  <c r="G23" i="6" s="1"/>
  <c r="W2" i="3"/>
  <c r="F2" i="5" s="1"/>
  <c r="F22" i="6" s="1"/>
  <c r="V3" i="3"/>
  <c r="E3" i="5" s="1"/>
  <c r="E23" i="6" s="1"/>
  <c r="U4" i="3"/>
  <c r="D4" i="5" s="1"/>
  <c r="D24" i="6" s="1"/>
  <c r="T5" i="3"/>
  <c r="C5" i="5" s="1"/>
  <c r="C25" i="6" s="1"/>
  <c r="S6" i="3"/>
  <c r="B6" i="5" s="1"/>
  <c r="B26" i="6" s="1"/>
  <c r="Z6" i="3"/>
  <c r="I6" i="5" s="1"/>
  <c r="I26" i="6" s="1"/>
  <c r="Y5" i="3"/>
  <c r="H5" i="5" s="1"/>
  <c r="H25" i="6" s="1"/>
  <c r="W9" i="3"/>
  <c r="F9" i="5" s="1"/>
  <c r="F29" i="6" s="1"/>
  <c r="X2" i="3"/>
  <c r="G2" i="5" s="1"/>
  <c r="G22" i="6" s="1"/>
  <c r="V2" i="3"/>
  <c r="E2" i="5" s="1"/>
  <c r="E22" i="6" s="1"/>
  <c r="U3" i="3"/>
  <c r="D3" i="5" s="1"/>
  <c r="D23" i="6" s="1"/>
  <c r="T4" i="3"/>
  <c r="C4" i="5" s="1"/>
  <c r="C24" i="6" s="1"/>
  <c r="S5" i="3"/>
  <c r="B5" i="5" s="1"/>
  <c r="B25" i="6" s="1"/>
  <c r="Z5" i="3"/>
  <c r="I5" i="5" s="1"/>
  <c r="I25" i="6" s="1"/>
  <c r="Y4" i="3"/>
  <c r="H4" i="5" s="1"/>
  <c r="H24" i="6" s="1"/>
  <c r="W8" i="3"/>
  <c r="F8" i="5" s="1"/>
  <c r="F28" i="6" s="1"/>
  <c r="V9" i="3"/>
  <c r="E9" i="5" s="1"/>
  <c r="E29" i="6" s="1"/>
  <c r="X4" i="3"/>
  <c r="G4" i="5" s="1"/>
  <c r="G24" i="6" s="1"/>
  <c r="U2" i="3"/>
  <c r="D2" i="5" s="1"/>
  <c r="D22" i="6" s="1"/>
  <c r="T3" i="3"/>
  <c r="C3" i="5" s="1"/>
  <c r="C23" i="6" s="1"/>
  <c r="S4" i="3"/>
  <c r="B4" i="5" s="1"/>
  <c r="B24" i="6" s="1"/>
  <c r="Z4" i="3"/>
  <c r="I4" i="5" s="1"/>
  <c r="I24" i="6" s="1"/>
  <c r="Y3" i="3"/>
  <c r="H3" i="5" s="1"/>
  <c r="H23" i="6" s="1"/>
  <c r="W7" i="3"/>
  <c r="F7" i="5" s="1"/>
  <c r="F27" i="6" s="1"/>
  <c r="V8" i="3"/>
  <c r="E8" i="5" s="1"/>
  <c r="E28" i="6" s="1"/>
  <c r="U9" i="3"/>
  <c r="D9" i="5" s="1"/>
  <c r="D29" i="6" s="1"/>
  <c r="X5" i="3"/>
  <c r="G5" i="5" s="1"/>
  <c r="G25" i="6" s="1"/>
  <c r="T2" i="3"/>
  <c r="C2" i="5" s="1"/>
  <c r="C22" i="6" s="1"/>
  <c r="S3" i="3"/>
  <c r="B3" i="5" s="1"/>
  <c r="B23" i="6" s="1"/>
  <c r="Z3" i="3"/>
  <c r="I3" i="5" s="1"/>
  <c r="I23" i="6" s="1"/>
  <c r="Y2" i="3"/>
  <c r="H2" i="5" s="1"/>
  <c r="H22" i="6" s="1"/>
  <c r="W6" i="3"/>
  <c r="F6" i="5" s="1"/>
  <c r="F26" i="6" s="1"/>
  <c r="V7" i="3"/>
  <c r="E7" i="5" s="1"/>
  <c r="E27" i="6" s="1"/>
  <c r="U8" i="3"/>
  <c r="D8" i="5" s="1"/>
  <c r="D28" i="6" s="1"/>
  <c r="T9" i="3"/>
  <c r="C9" i="5" s="1"/>
  <c r="C29" i="6" s="1"/>
  <c r="X6" i="3"/>
  <c r="G6" i="5" s="1"/>
  <c r="G26" i="6" s="1"/>
  <c r="S2" i="3"/>
  <c r="B2" i="5" s="1"/>
  <c r="B22" i="6" s="1"/>
  <c r="Y9" i="3"/>
  <c r="H9" i="5" s="1"/>
  <c r="H29" i="6" s="1"/>
  <c r="X9" i="3"/>
  <c r="G9" i="5" s="1"/>
  <c r="G29" i="6" s="1"/>
  <c r="W5" i="3"/>
  <c r="F5" i="5" s="1"/>
  <c r="F25" i="6" s="1"/>
  <c r="V6" i="3"/>
  <c r="E6" i="5" s="1"/>
  <c r="E26" i="6" s="1"/>
  <c r="U7" i="3"/>
  <c r="D7" i="5" s="1"/>
  <c r="D27" i="6" s="1"/>
  <c r="U6" i="3"/>
  <c r="D6" i="5" s="1"/>
  <c r="D26" i="6" s="1"/>
  <c r="T8" i="3"/>
  <c r="C8" i="5" s="1"/>
  <c r="C28" i="6" s="1"/>
  <c r="W4" i="3"/>
  <c r="F4" i="5" s="1"/>
  <c r="F24" i="6" s="1"/>
  <c r="T7" i="3"/>
  <c r="C7" i="5" s="1"/>
  <c r="C27" i="6" s="1"/>
  <c r="S9" i="3"/>
  <c r="B9" i="5" s="1"/>
  <c r="B29" i="6" s="1"/>
  <c r="Y8" i="3"/>
  <c r="H8" i="5" s="1"/>
  <c r="H28" i="6" s="1"/>
  <c r="S8" i="3"/>
  <c r="B8" i="5" s="1"/>
  <c r="B28" i="6" s="1"/>
  <c r="X8" i="3"/>
  <c r="G8" i="5" s="1"/>
  <c r="G28" i="6" s="1"/>
  <c r="Z9" i="3"/>
  <c r="I9" i="5" s="1"/>
  <c r="I29" i="6" s="1"/>
  <c r="Z8" i="3"/>
  <c r="I8" i="5" s="1"/>
  <c r="I28" i="6" s="1"/>
  <c r="V5" i="3"/>
  <c r="E5" i="5" s="1"/>
  <c r="E25" i="6" s="1"/>
  <c r="U10" i="3"/>
  <c r="D10" i="5" s="1"/>
  <c r="D30" i="6" s="1"/>
  <c r="S13" i="3"/>
  <c r="B13" i="5" s="1"/>
  <c r="B33" i="6" s="1"/>
  <c r="T11" i="3"/>
  <c r="C11" i="5" s="1"/>
  <c r="C31" i="6" s="1"/>
  <c r="Z12" i="3"/>
  <c r="I12" i="5" s="1"/>
  <c r="I32" i="6" s="1"/>
  <c r="W14" i="3"/>
  <c r="F14" i="5" s="1"/>
  <c r="F34" i="6" s="1"/>
  <c r="S16" i="3"/>
  <c r="B16" i="5" s="1"/>
  <c r="B36" i="6" s="1"/>
  <c r="X17" i="3"/>
  <c r="G17" i="5" s="1"/>
  <c r="G37" i="6" s="1"/>
  <c r="X14" i="3"/>
  <c r="G14" i="5" s="1"/>
  <c r="G34" i="6" s="1"/>
  <c r="S10" i="3"/>
  <c r="B10" i="5" s="1"/>
  <c r="B30" i="6" s="1"/>
  <c r="X11" i="3"/>
  <c r="G11" i="5" s="1"/>
  <c r="G31" i="6" s="1"/>
  <c r="T13" i="3"/>
  <c r="C13" i="5" s="1"/>
  <c r="C33" i="6" s="1"/>
  <c r="Z14" i="3"/>
  <c r="I14" i="5" s="1"/>
  <c r="I34" i="6" s="1"/>
  <c r="W16" i="3"/>
  <c r="F16" i="5" s="1"/>
  <c r="F36" i="6" s="1"/>
  <c r="T10" i="3"/>
  <c r="C10" i="5" s="1"/>
  <c r="C30" i="6" s="1"/>
  <c r="Z11" i="3"/>
  <c r="I11" i="5" s="1"/>
  <c r="I31" i="6" s="1"/>
  <c r="W13" i="3"/>
  <c r="F13" i="5" s="1"/>
  <c r="F33" i="6" s="1"/>
  <c r="S15" i="3"/>
  <c r="B15" i="5" s="1"/>
  <c r="B35" i="6" s="1"/>
  <c r="X16" i="3"/>
  <c r="G16" i="5" s="1"/>
  <c r="G36" i="6" s="1"/>
  <c r="W10" i="3"/>
  <c r="F10" i="5" s="1"/>
  <c r="F30" i="6" s="1"/>
  <c r="S12" i="3"/>
  <c r="B12" i="5" s="1"/>
  <c r="B32" i="6" s="1"/>
  <c r="X13" i="3"/>
  <c r="G13" i="5" s="1"/>
  <c r="G33" i="6" s="1"/>
  <c r="T15" i="3"/>
  <c r="C15" i="5" s="1"/>
  <c r="C35" i="6" s="1"/>
  <c r="Z16" i="3"/>
  <c r="I16" i="5" s="1"/>
  <c r="I36" i="6" s="1"/>
  <c r="X10" i="3"/>
  <c r="G10" i="5" s="1"/>
  <c r="G30" i="6" s="1"/>
  <c r="T12" i="3"/>
  <c r="C12" i="5" s="1"/>
  <c r="C32" i="6" s="1"/>
  <c r="Z13" i="3"/>
  <c r="I13" i="5" s="1"/>
  <c r="I33" i="6" s="1"/>
  <c r="W15" i="3"/>
  <c r="F15" i="5" s="1"/>
  <c r="F35" i="6" s="1"/>
  <c r="S17" i="3"/>
  <c r="B17" i="5" s="1"/>
  <c r="B37" i="6" s="1"/>
  <c r="Z10" i="3"/>
  <c r="I10" i="5" s="1"/>
  <c r="I30" i="6" s="1"/>
  <c r="W12" i="3"/>
  <c r="F12" i="5" s="1"/>
  <c r="F32" i="6" s="1"/>
  <c r="S14" i="3"/>
  <c r="B14" i="5" s="1"/>
  <c r="B34" i="6" s="1"/>
  <c r="X15" i="3"/>
  <c r="G15" i="5" s="1"/>
  <c r="G35" i="6" s="1"/>
  <c r="T17" i="3"/>
  <c r="C17" i="5" s="1"/>
  <c r="C37" i="6" s="1"/>
  <c r="S11" i="3"/>
  <c r="B11" i="5" s="1"/>
  <c r="B31" i="6" s="1"/>
  <c r="X12" i="3"/>
  <c r="G12" i="5" s="1"/>
  <c r="G32" i="6" s="1"/>
  <c r="T14" i="3"/>
  <c r="C14" i="5" s="1"/>
  <c r="C34" i="6" s="1"/>
  <c r="Z15" i="3"/>
  <c r="I15" i="5" s="1"/>
  <c r="I35" i="6" s="1"/>
  <c r="W17" i="3"/>
  <c r="F17" i="5" s="1"/>
  <c r="F37" i="6" s="1"/>
  <c r="W11" i="3"/>
  <c r="F11" i="5" s="1"/>
  <c r="F31" i="6" s="1"/>
  <c r="T16" i="3"/>
  <c r="C16" i="5" s="1"/>
  <c r="C36" i="6" s="1"/>
  <c r="Z17" i="3"/>
  <c r="I17" i="5" s="1"/>
  <c r="I37" i="6" s="1"/>
  <c r="Y13" i="3"/>
  <c r="H13" i="5" s="1"/>
  <c r="H33" i="6" s="1"/>
  <c r="V13" i="3"/>
  <c r="E13" i="5" s="1"/>
  <c r="E33" i="6" s="1"/>
  <c r="U13" i="3"/>
  <c r="D13" i="5" s="1"/>
  <c r="D33" i="6" s="1"/>
  <c r="Y12" i="3"/>
  <c r="H12" i="5" s="1"/>
  <c r="H32" i="6" s="1"/>
  <c r="V12" i="3"/>
  <c r="E12" i="5" s="1"/>
  <c r="E32" i="6" s="1"/>
  <c r="U12" i="3"/>
  <c r="D12" i="5" s="1"/>
  <c r="D32" i="6" s="1"/>
  <c r="Y11" i="3"/>
  <c r="H11" i="5" s="1"/>
  <c r="H31" i="6" s="1"/>
  <c r="V11" i="3"/>
  <c r="E11" i="5" s="1"/>
  <c r="E31" i="6" s="1"/>
  <c r="U11" i="3"/>
  <c r="D11" i="5" s="1"/>
  <c r="D31" i="6" s="1"/>
  <c r="Y10" i="3"/>
  <c r="H10" i="5" s="1"/>
  <c r="H30" i="6" s="1"/>
  <c r="V10" i="3"/>
  <c r="E10" i="5" s="1"/>
  <c r="E30" i="6" s="1"/>
  <c r="Y17" i="3"/>
  <c r="H17" i="5" s="1"/>
  <c r="H37" i="6" s="1"/>
  <c r="V17" i="3"/>
  <c r="E17" i="5" s="1"/>
  <c r="E37" i="6" s="1"/>
  <c r="U17" i="3"/>
  <c r="D17" i="5" s="1"/>
  <c r="D37" i="6" s="1"/>
  <c r="Y16" i="3"/>
  <c r="H16" i="5" s="1"/>
  <c r="H36" i="6" s="1"/>
  <c r="V16" i="3"/>
  <c r="E16" i="5" s="1"/>
  <c r="E36" i="6" s="1"/>
  <c r="U16" i="3"/>
  <c r="D16" i="5" s="1"/>
  <c r="D36" i="6" s="1"/>
  <c r="Y15" i="3"/>
  <c r="H15" i="5" s="1"/>
  <c r="H35" i="6" s="1"/>
  <c r="V15" i="3"/>
  <c r="E15" i="5" s="1"/>
  <c r="E35" i="6" s="1"/>
  <c r="U15" i="3"/>
  <c r="D15" i="5" s="1"/>
  <c r="D35" i="6" s="1"/>
  <c r="U14" i="3"/>
  <c r="D14" i="5" s="1"/>
  <c r="D34" i="6" s="1"/>
  <c r="V14" i="3"/>
  <c r="E14" i="5" s="1"/>
  <c r="E34" i="6" s="1"/>
  <c r="Y14" i="3"/>
  <c r="H14" i="5" s="1"/>
  <c r="H34" i="6" s="1"/>
  <c r="T22" i="6" l="1" a="1"/>
  <c r="AB22" i="6" a="1"/>
  <c r="AB30" i="6" a="1"/>
  <c r="T30" i="6" a="1"/>
  <c r="Y24" i="6" l="1"/>
  <c r="Y27" i="6"/>
  <c r="V24" i="6"/>
  <c r="W24" i="6"/>
  <c r="AA27" i="6"/>
  <c r="X25" i="6"/>
  <c r="U27" i="6"/>
  <c r="Z23" i="6"/>
  <c r="AA29" i="6"/>
  <c r="W27" i="6"/>
  <c r="X22" i="6"/>
  <c r="T27" i="6"/>
  <c r="V29" i="6"/>
  <c r="U29" i="6"/>
  <c r="X28" i="6"/>
  <c r="Z24" i="6"/>
  <c r="U28" i="6"/>
  <c r="V25" i="6"/>
  <c r="T28" i="6"/>
  <c r="V22" i="6"/>
  <c r="Z25" i="6"/>
  <c r="W22" i="6"/>
  <c r="Z26" i="6"/>
  <c r="Y28" i="6"/>
  <c r="Y23" i="6"/>
  <c r="X29" i="6"/>
  <c r="T24" i="6"/>
  <c r="U24" i="6"/>
  <c r="Y29" i="6"/>
  <c r="W29" i="6"/>
  <c r="U23" i="6"/>
  <c r="X23" i="6"/>
  <c r="AA22" i="6"/>
  <c r="AA23" i="6"/>
  <c r="V27" i="6"/>
  <c r="T25" i="6"/>
  <c r="Z29" i="6"/>
  <c r="AA26" i="6"/>
  <c r="T29" i="6"/>
  <c r="Y25" i="6"/>
  <c r="V26" i="6"/>
  <c r="V28" i="6"/>
  <c r="Y26" i="6"/>
  <c r="W23" i="6"/>
  <c r="W28" i="6"/>
  <c r="V23" i="6"/>
  <c r="AA25" i="6"/>
  <c r="U25" i="6"/>
  <c r="T22" i="6"/>
  <c r="Y22" i="6"/>
  <c r="Z22" i="6"/>
  <c r="W26" i="6"/>
  <c r="X24" i="6"/>
  <c r="X26" i="6"/>
  <c r="T23" i="6"/>
  <c r="X27" i="6"/>
  <c r="AA28" i="6"/>
  <c r="AA24" i="6"/>
  <c r="W25" i="6"/>
  <c r="Z27" i="6"/>
  <c r="T26" i="6"/>
  <c r="U22" i="6"/>
  <c r="U26" i="6"/>
  <c r="Z28" i="6"/>
  <c r="U35" i="6"/>
  <c r="T35" i="6"/>
  <c r="Z32" i="6"/>
  <c r="U36" i="6"/>
  <c r="U37" i="6"/>
  <c r="X36" i="6"/>
  <c r="X35" i="6"/>
  <c r="T30" i="6"/>
  <c r="AA37" i="6"/>
  <c r="Z31" i="6"/>
  <c r="Z34" i="6"/>
  <c r="AA34" i="6"/>
  <c r="AA35" i="6"/>
  <c r="U31" i="6"/>
  <c r="X33" i="6"/>
  <c r="V34" i="6"/>
  <c r="Z37" i="6"/>
  <c r="W30" i="6"/>
  <c r="V30" i="6"/>
  <c r="U30" i="6"/>
  <c r="U32" i="6"/>
  <c r="W35" i="6"/>
  <c r="Y31" i="6"/>
  <c r="W31" i="6"/>
  <c r="Y30" i="6"/>
  <c r="X34" i="6"/>
  <c r="X30" i="6"/>
  <c r="X32" i="6"/>
  <c r="Y35" i="6"/>
  <c r="Y37" i="6"/>
  <c r="Z33" i="6"/>
  <c r="T37" i="6"/>
  <c r="Z36" i="6"/>
  <c r="V37" i="6"/>
  <c r="V33" i="6"/>
  <c r="T31" i="6"/>
  <c r="AA31" i="6"/>
  <c r="W33" i="6"/>
  <c r="W32" i="6"/>
  <c r="T33" i="6"/>
  <c r="T32" i="6"/>
  <c r="Y34" i="6"/>
  <c r="Y36" i="6"/>
  <c r="AA30" i="6"/>
  <c r="U34" i="6"/>
  <c r="W36" i="6"/>
  <c r="Z35" i="6"/>
  <c r="W34" i="6"/>
  <c r="Y33" i="6"/>
  <c r="T36" i="6"/>
  <c r="AA36" i="6"/>
  <c r="X37" i="6"/>
  <c r="V31" i="6"/>
  <c r="V35" i="6"/>
  <c r="Z30" i="6"/>
  <c r="T34" i="6"/>
  <c r="V36" i="6"/>
  <c r="Y32" i="6"/>
  <c r="X31" i="6"/>
  <c r="AA33" i="6"/>
  <c r="AA32" i="6"/>
  <c r="W37" i="6"/>
  <c r="U33" i="6"/>
  <c r="V32" i="6"/>
  <c r="AI34" i="6"/>
  <c r="AI30" i="6"/>
  <c r="AG30" i="6"/>
  <c r="AD31" i="6"/>
  <c r="AB36" i="6"/>
  <c r="AB31" i="6"/>
  <c r="AD34" i="6"/>
  <c r="AC37" i="6"/>
  <c r="AC33" i="6"/>
  <c r="AB33" i="6"/>
  <c r="AI36" i="6"/>
  <c r="AH33" i="6"/>
  <c r="AC34" i="6"/>
  <c r="AF37" i="6"/>
  <c r="AD32" i="6"/>
  <c r="AF35" i="6"/>
  <c r="AH35" i="6"/>
  <c r="AE31" i="6"/>
  <c r="AC31" i="6"/>
  <c r="AH31" i="6"/>
  <c r="AH30" i="6"/>
  <c r="AF34" i="6"/>
  <c r="AG35" i="6"/>
  <c r="AC35" i="6"/>
  <c r="AD33" i="6"/>
  <c r="AD37" i="6"/>
  <c r="AE30" i="6"/>
  <c r="AC30" i="6"/>
  <c r="AD36" i="6"/>
  <c r="AI32" i="6"/>
  <c r="AH36" i="6"/>
  <c r="AG32" i="6"/>
  <c r="AG31" i="6"/>
  <c r="AI31" i="6"/>
  <c r="AG34" i="6"/>
  <c r="AE32" i="6"/>
  <c r="AI37" i="6"/>
  <c r="AH37" i="6"/>
  <c r="AB35" i="6"/>
  <c r="AB34" i="6"/>
  <c r="AE35" i="6"/>
  <c r="AI33" i="6"/>
  <c r="AF32" i="6"/>
  <c r="AG33" i="6"/>
  <c r="AF30" i="6"/>
  <c r="AF33" i="6"/>
  <c r="AE36" i="6"/>
  <c r="AH34" i="6"/>
  <c r="AI35" i="6"/>
  <c r="AF31" i="6"/>
  <c r="AC36" i="6"/>
  <c r="AB30" i="6"/>
  <c r="AD35" i="6"/>
  <c r="AE37" i="6"/>
  <c r="AD30" i="6"/>
  <c r="AH32" i="6"/>
  <c r="AG37" i="6"/>
  <c r="AB32" i="6"/>
  <c r="AF36" i="6"/>
  <c r="AE34" i="6"/>
  <c r="AC32" i="6"/>
  <c r="AG36" i="6"/>
  <c r="AE33" i="6"/>
  <c r="AB37" i="6"/>
  <c r="AC22" i="6"/>
  <c r="AD26" i="6"/>
  <c r="AH24" i="6"/>
  <c r="AB26" i="6"/>
  <c r="AG24" i="6"/>
  <c r="AE26" i="6"/>
  <c r="AH22" i="6"/>
  <c r="AB29" i="6"/>
  <c r="AF27" i="6"/>
  <c r="AF29" i="6"/>
  <c r="AG27" i="6"/>
  <c r="AD29" i="6"/>
  <c r="AD22" i="6"/>
  <c r="AI22" i="6"/>
  <c r="AI27" i="6"/>
  <c r="AH28" i="6"/>
  <c r="AI28" i="6"/>
  <c r="AD25" i="6"/>
  <c r="AG26" i="6"/>
  <c r="AG29" i="6"/>
  <c r="AB27" i="6"/>
  <c r="AC28" i="6"/>
  <c r="AD24" i="6"/>
  <c r="AG23" i="6"/>
  <c r="AD23" i="6"/>
  <c r="AF22" i="6"/>
  <c r="AE27" i="6"/>
  <c r="AF28" i="6"/>
  <c r="AI23" i="6"/>
  <c r="AB28" i="6"/>
  <c r="AF26" i="6"/>
  <c r="AC23" i="6"/>
  <c r="AF25" i="6"/>
  <c r="AH29" i="6"/>
  <c r="AE25" i="6"/>
  <c r="AC29" i="6"/>
  <c r="AC25" i="6"/>
  <c r="AB25" i="6"/>
  <c r="AE22" i="6"/>
  <c r="AF24" i="6"/>
  <c r="AH26" i="6"/>
  <c r="AB22" i="6"/>
  <c r="AC24" i="6"/>
  <c r="AE28" i="6"/>
  <c r="AF23" i="6"/>
  <c r="AB23" i="6"/>
  <c r="AI25" i="6"/>
  <c r="AI26" i="6"/>
  <c r="AI24" i="6"/>
  <c r="AD28" i="6"/>
  <c r="AG25" i="6"/>
  <c r="AH27" i="6"/>
  <c r="AI29" i="6"/>
  <c r="AH25" i="6"/>
  <c r="AE23" i="6"/>
  <c r="AE29" i="6"/>
  <c r="AD27" i="6"/>
  <c r="AB24" i="6"/>
  <c r="AG28" i="6"/>
  <c r="AG22" i="6"/>
  <c r="AH23" i="6"/>
  <c r="AC26" i="6"/>
  <c r="AC27" i="6"/>
  <c r="AE24" i="6"/>
  <c r="AL22" i="6" l="1" a="1"/>
  <c r="AM22" i="6" s="1"/>
  <c r="C2" i="6" s="1"/>
  <c r="AL30" i="6" a="1"/>
  <c r="AT30" i="6" a="1"/>
  <c r="AT22" i="6" a="1"/>
  <c r="AR23" i="6" l="1"/>
  <c r="H3" i="6" s="1"/>
  <c r="AP26" i="6"/>
  <c r="F6" i="6" s="1"/>
  <c r="AL26" i="6"/>
  <c r="B6" i="6" s="1"/>
  <c r="AP28" i="6"/>
  <c r="F8" i="6" s="1"/>
  <c r="AR25" i="6"/>
  <c r="H5" i="6" s="1"/>
  <c r="AP24" i="6"/>
  <c r="F4" i="6" s="1"/>
  <c r="AR26" i="6"/>
  <c r="H6" i="6" s="1"/>
  <c r="AS25" i="6"/>
  <c r="I5" i="6" s="1"/>
  <c r="AL29" i="6"/>
  <c r="B9" i="6" s="1"/>
  <c r="AS27" i="6"/>
  <c r="I7" i="6" s="1"/>
  <c r="AR29" i="6"/>
  <c r="H9" i="6" s="1"/>
  <c r="AN28" i="6"/>
  <c r="D8" i="6" s="1"/>
  <c r="AL25" i="6"/>
  <c r="B5" i="6" s="1"/>
  <c r="AO27" i="6"/>
  <c r="E7" i="6" s="1"/>
  <c r="AL24" i="6"/>
  <c r="B4" i="6" s="1"/>
  <c r="AN23" i="6"/>
  <c r="D3" i="6" s="1"/>
  <c r="AL23" i="6"/>
  <c r="B3" i="6" s="1"/>
  <c r="AN27" i="6"/>
  <c r="D7" i="6" s="1"/>
  <c r="AM29" i="6"/>
  <c r="C9" i="6" s="1"/>
  <c r="AM23" i="6"/>
  <c r="C3" i="6" s="1"/>
  <c r="AN25" i="6"/>
  <c r="D5" i="6" s="1"/>
  <c r="AO28" i="6"/>
  <c r="E8" i="6" s="1"/>
  <c r="AS23" i="6"/>
  <c r="I3" i="6" s="1"/>
  <c r="AM28" i="6"/>
  <c r="C8" i="6" s="1"/>
  <c r="AP22" i="6"/>
  <c r="F2" i="6" s="1"/>
  <c r="AS24" i="6"/>
  <c r="I4" i="6" s="1"/>
  <c r="AO22" i="6"/>
  <c r="E2" i="6" s="1"/>
  <c r="AP27" i="6"/>
  <c r="F7" i="6" s="1"/>
  <c r="AQ27" i="6"/>
  <c r="G7" i="6" s="1"/>
  <c r="AL22" i="6"/>
  <c r="B2" i="6" s="1"/>
  <c r="AQ28" i="6"/>
  <c r="G8" i="6" s="1"/>
  <c r="AQ26" i="6"/>
  <c r="G6" i="6" s="1"/>
  <c r="AQ25" i="6"/>
  <c r="G5" i="6" s="1"/>
  <c r="AO24" i="6"/>
  <c r="E4" i="6" s="1"/>
  <c r="AL27" i="6"/>
  <c r="B7" i="6" s="1"/>
  <c r="AO26" i="6"/>
  <c r="E6" i="6" s="1"/>
  <c r="AR27" i="6"/>
  <c r="H7" i="6" s="1"/>
  <c r="AR24" i="6"/>
  <c r="H4" i="6" s="1"/>
  <c r="AQ22" i="6"/>
  <c r="G2" i="6" s="1"/>
  <c r="AN26" i="6"/>
  <c r="D6" i="6" s="1"/>
  <c r="AS26" i="6"/>
  <c r="I6" i="6" s="1"/>
  <c r="AN24" i="6"/>
  <c r="D4" i="6" s="1"/>
  <c r="AS22" i="6"/>
  <c r="I2" i="6" s="1"/>
  <c r="AP23" i="6"/>
  <c r="F3" i="6" s="1"/>
  <c r="AQ24" i="6"/>
  <c r="G4" i="6" s="1"/>
  <c r="AN29" i="6"/>
  <c r="D9" i="6" s="1"/>
  <c r="AP25" i="6"/>
  <c r="F5" i="6" s="1"/>
  <c r="AM26" i="6"/>
  <c r="C6" i="6" s="1"/>
  <c r="AS28" i="6"/>
  <c r="I8" i="6" s="1"/>
  <c r="AM27" i="6"/>
  <c r="C7" i="6" s="1"/>
  <c r="AM24" i="6"/>
  <c r="C4" i="6" s="1"/>
  <c r="AQ29" i="6"/>
  <c r="G9" i="6" s="1"/>
  <c r="AL28" i="6"/>
  <c r="B8" i="6" s="1"/>
  <c r="AO23" i="6"/>
  <c r="E3" i="6" s="1"/>
  <c r="AQ23" i="6"/>
  <c r="G3" i="6" s="1"/>
  <c r="AP29" i="6"/>
  <c r="F9" i="6" s="1"/>
  <c r="AS29" i="6"/>
  <c r="I9" i="6" s="1"/>
  <c r="AN22" i="6"/>
  <c r="D2" i="6" s="1"/>
  <c r="AR22" i="6"/>
  <c r="H2" i="6" s="1"/>
  <c r="AO25" i="6"/>
  <c r="E5" i="6" s="1"/>
  <c r="AO29" i="6"/>
  <c r="E9" i="6" s="1"/>
  <c r="AM25" i="6"/>
  <c r="C5" i="6" s="1"/>
  <c r="AR28" i="6"/>
  <c r="H8" i="6" s="1"/>
  <c r="AS36" i="6"/>
  <c r="I16" i="6" s="1"/>
  <c r="AN35" i="6"/>
  <c r="D15" i="6" s="1"/>
  <c r="AM31" i="6"/>
  <c r="C11" i="6" s="1"/>
  <c r="AS34" i="6"/>
  <c r="I14" i="6" s="1"/>
  <c r="AO37" i="6"/>
  <c r="E17" i="6" s="1"/>
  <c r="AN31" i="6"/>
  <c r="D11" i="6" s="1"/>
  <c r="AR30" i="6"/>
  <c r="H10" i="6" s="1"/>
  <c r="AQ34" i="6"/>
  <c r="G14" i="6" s="1"/>
  <c r="AO31" i="6"/>
  <c r="E11" i="6" s="1"/>
  <c r="AP34" i="6"/>
  <c r="F14" i="6" s="1"/>
  <c r="AL30" i="6"/>
  <c r="B10" i="6" s="1"/>
  <c r="AQ36" i="6"/>
  <c r="G16" i="6" s="1"/>
  <c r="AS30" i="6"/>
  <c r="I10" i="6" s="1"/>
  <c r="AS35" i="6"/>
  <c r="I15" i="6" s="1"/>
  <c r="AL33" i="6"/>
  <c r="B13" i="6" s="1"/>
  <c r="AR35" i="6"/>
  <c r="H15" i="6" s="1"/>
  <c r="AS31" i="6"/>
  <c r="I11" i="6" s="1"/>
  <c r="AL35" i="6"/>
  <c r="B15" i="6" s="1"/>
  <c r="AS33" i="6"/>
  <c r="I13" i="6" s="1"/>
  <c r="AP33" i="6"/>
  <c r="F13" i="6" s="1"/>
  <c r="AM35" i="6"/>
  <c r="C15" i="6" s="1"/>
  <c r="AO30" i="6"/>
  <c r="E10" i="6" s="1"/>
  <c r="AN33" i="6"/>
  <c r="D13" i="6" s="1"/>
  <c r="AO33" i="6"/>
  <c r="E13" i="6" s="1"/>
  <c r="AN37" i="6"/>
  <c r="D17" i="6" s="1"/>
  <c r="AS32" i="6"/>
  <c r="I12" i="6" s="1"/>
  <c r="AR36" i="6"/>
  <c r="H16" i="6" s="1"/>
  <c r="AQ37" i="6"/>
  <c r="G17" i="6" s="1"/>
  <c r="AN34" i="6"/>
  <c r="D14" i="6" s="1"/>
  <c r="AM33" i="6"/>
  <c r="C13" i="6" s="1"/>
  <c r="AO36" i="6"/>
  <c r="E16" i="6" s="1"/>
  <c r="AR37" i="6"/>
  <c r="H17" i="6" s="1"/>
  <c r="AM37" i="6"/>
  <c r="C17" i="6" s="1"/>
  <c r="AM32" i="6"/>
  <c r="C12" i="6" s="1"/>
  <c r="AQ32" i="6"/>
  <c r="G12" i="6" s="1"/>
  <c r="AP31" i="6"/>
  <c r="F11" i="6" s="1"/>
  <c r="AO34" i="6"/>
  <c r="E14" i="6" s="1"/>
  <c r="AQ30" i="6"/>
  <c r="G10" i="6" s="1"/>
  <c r="AQ35" i="6"/>
  <c r="G15" i="6" s="1"/>
  <c r="AM30" i="6"/>
  <c r="C10" i="6" s="1"/>
  <c r="AR33" i="6"/>
  <c r="H13" i="6" s="1"/>
  <c r="AN30" i="6"/>
  <c r="D10" i="6" s="1"/>
  <c r="AN32" i="6"/>
  <c r="D12" i="6" s="1"/>
  <c r="AL31" i="6"/>
  <c r="B11" i="6" s="1"/>
  <c r="AQ33" i="6"/>
  <c r="G13" i="6" s="1"/>
  <c r="AO32" i="6"/>
  <c r="E12" i="6" s="1"/>
  <c r="AM36" i="6"/>
  <c r="C16" i="6" s="1"/>
  <c r="AR32" i="6"/>
  <c r="H12" i="6" s="1"/>
  <c r="AS37" i="6"/>
  <c r="I17" i="6" s="1"/>
  <c r="AL32" i="6"/>
  <c r="B12" i="6" s="1"/>
  <c r="AP35" i="6"/>
  <c r="F15" i="6" s="1"/>
  <c r="AL34" i="6"/>
  <c r="B14" i="6" s="1"/>
  <c r="AM34" i="6"/>
  <c r="C14" i="6" s="1"/>
  <c r="AN36" i="6"/>
  <c r="D16" i="6" s="1"/>
  <c r="AL36" i="6"/>
  <c r="B16" i="6" s="1"/>
  <c r="AP36" i="6"/>
  <c r="F16" i="6" s="1"/>
  <c r="AR31" i="6"/>
  <c r="H11" i="6" s="1"/>
  <c r="AQ31" i="6"/>
  <c r="G11" i="6" s="1"/>
  <c r="AR34" i="6"/>
  <c r="H14" i="6" s="1"/>
  <c r="AP37" i="6"/>
  <c r="F17" i="6" s="1"/>
  <c r="AL37" i="6"/>
  <c r="B17" i="6" s="1"/>
  <c r="AO35" i="6"/>
  <c r="E15" i="6" s="1"/>
  <c r="AP30" i="6"/>
  <c r="F10" i="6" s="1"/>
  <c r="AP32" i="6"/>
  <c r="F12" i="6" s="1"/>
  <c r="BA32" i="6"/>
  <c r="Q12" i="6" s="1"/>
  <c r="AZ34" i="6"/>
  <c r="P14" i="6" s="1"/>
  <c r="AW34" i="6"/>
  <c r="M14" i="6" s="1"/>
  <c r="AT31" i="6"/>
  <c r="J11" i="6" s="1"/>
  <c r="AZ36" i="6"/>
  <c r="P16" i="6" s="1"/>
  <c r="AU33" i="6"/>
  <c r="K13" i="6" s="1"/>
  <c r="AX30" i="6"/>
  <c r="N10" i="6" s="1"/>
  <c r="AU36" i="6"/>
  <c r="K16" i="6" s="1"/>
  <c r="BA33" i="6"/>
  <c r="Q13" i="6" s="1"/>
  <c r="AX32" i="6"/>
  <c r="N12" i="6" s="1"/>
  <c r="AW32" i="6"/>
  <c r="M12" i="6" s="1"/>
  <c r="AU37" i="6"/>
  <c r="K17" i="6" s="1"/>
  <c r="AW35" i="6"/>
  <c r="M15" i="6" s="1"/>
  <c r="AW33" i="6"/>
  <c r="M13" i="6" s="1"/>
  <c r="AV33" i="6"/>
  <c r="L13" i="6" s="1"/>
  <c r="AX37" i="6"/>
  <c r="N17" i="6" s="1"/>
  <c r="AW31" i="6"/>
  <c r="M11" i="6" s="1"/>
  <c r="AZ37" i="6"/>
  <c r="P17" i="6" s="1"/>
  <c r="AY37" i="6"/>
  <c r="O17" i="6" s="1"/>
  <c r="AZ31" i="6"/>
  <c r="P11" i="6" s="1"/>
  <c r="AU35" i="6"/>
  <c r="K15" i="6" s="1"/>
  <c r="BA31" i="6"/>
  <c r="Q11" i="6" s="1"/>
  <c r="BA34" i="6"/>
  <c r="Q14" i="6" s="1"/>
  <c r="AX34" i="6"/>
  <c r="N14" i="6" s="1"/>
  <c r="AX35" i="6"/>
  <c r="N15" i="6" s="1"/>
  <c r="AV31" i="6"/>
  <c r="L11" i="6" s="1"/>
  <c r="AU34" i="6"/>
  <c r="K14" i="6" s="1"/>
  <c r="AX33" i="6"/>
  <c r="N13" i="6" s="1"/>
  <c r="AT32" i="6"/>
  <c r="J12" i="6" s="1"/>
  <c r="BA35" i="6"/>
  <c r="Q15" i="6" s="1"/>
  <c r="AX31" i="6"/>
  <c r="N11" i="6" s="1"/>
  <c r="AW36" i="6"/>
  <c r="M16" i="6" s="1"/>
  <c r="AT37" i="6"/>
  <c r="J17" i="6" s="1"/>
  <c r="AW37" i="6"/>
  <c r="M17" i="6" s="1"/>
  <c r="AU30" i="6"/>
  <c r="K10" i="6" s="1"/>
  <c r="AY33" i="6"/>
  <c r="O13" i="6" s="1"/>
  <c r="AY31" i="6"/>
  <c r="O11" i="6" s="1"/>
  <c r="AX36" i="6"/>
  <c r="N16" i="6" s="1"/>
  <c r="AU32" i="6"/>
  <c r="K12" i="6" s="1"/>
  <c r="AV36" i="6"/>
  <c r="L16" i="6" s="1"/>
  <c r="AZ33" i="6"/>
  <c r="P13" i="6" s="1"/>
  <c r="AV32" i="6"/>
  <c r="L12" i="6" s="1"/>
  <c r="AT33" i="6"/>
  <c r="J13" i="6" s="1"/>
  <c r="AU31" i="6"/>
  <c r="K11" i="6" s="1"/>
  <c r="AY34" i="6"/>
  <c r="O14" i="6" s="1"/>
  <c r="AT34" i="6"/>
  <c r="J14" i="6" s="1"/>
  <c r="AT30" i="6"/>
  <c r="J10" i="6" s="1"/>
  <c r="AY30" i="6"/>
  <c r="O10" i="6" s="1"/>
  <c r="AZ35" i="6"/>
  <c r="P15" i="6" s="1"/>
  <c r="AZ32" i="6"/>
  <c r="P12" i="6" s="1"/>
  <c r="AZ30" i="6"/>
  <c r="P10" i="6" s="1"/>
  <c r="AV37" i="6"/>
  <c r="L17" i="6" s="1"/>
  <c r="BA30" i="6"/>
  <c r="Q10" i="6" s="1"/>
  <c r="AV30" i="6"/>
  <c r="L10" i="6" s="1"/>
  <c r="BA36" i="6"/>
  <c r="Q16" i="6" s="1"/>
  <c r="AY35" i="6"/>
  <c r="O15" i="6" s="1"/>
  <c r="AT35" i="6"/>
  <c r="J15" i="6" s="1"/>
  <c r="AT36" i="6"/>
  <c r="J16" i="6" s="1"/>
  <c r="BA37" i="6"/>
  <c r="Q17" i="6" s="1"/>
  <c r="AV34" i="6"/>
  <c r="L14" i="6" s="1"/>
  <c r="AY36" i="6"/>
  <c r="O16" i="6" s="1"/>
  <c r="AV35" i="6"/>
  <c r="L15" i="6" s="1"/>
  <c r="AY32" i="6"/>
  <c r="O12" i="6" s="1"/>
  <c r="AW30" i="6"/>
  <c r="M10" i="6" s="1"/>
  <c r="AT29" i="6"/>
  <c r="J9" i="6" s="1"/>
  <c r="AX22" i="6"/>
  <c r="N2" i="6" s="1"/>
  <c r="AV29" i="6"/>
  <c r="L9" i="6" s="1"/>
  <c r="AY23" i="6"/>
  <c r="O3" i="6" s="1"/>
  <c r="AW29" i="6"/>
  <c r="M9" i="6" s="1"/>
  <c r="BA22" i="6"/>
  <c r="Q2" i="6" s="1"/>
  <c r="AV27" i="6"/>
  <c r="L7" i="6" s="1"/>
  <c r="AU29" i="6"/>
  <c r="K9" i="6" s="1"/>
  <c r="AV22" i="6"/>
  <c r="L2" i="6" s="1"/>
  <c r="BA27" i="6"/>
  <c r="Q7" i="6" s="1"/>
  <c r="AX28" i="6"/>
  <c r="N8" i="6" s="1"/>
  <c r="AT26" i="6"/>
  <c r="J6" i="6" s="1"/>
  <c r="AZ25" i="6"/>
  <c r="P5" i="6" s="1"/>
  <c r="AT23" i="6"/>
  <c r="J3" i="6" s="1"/>
  <c r="AZ22" i="6"/>
  <c r="P2" i="6" s="1"/>
  <c r="AV25" i="6"/>
  <c r="L5" i="6" s="1"/>
  <c r="BA26" i="6"/>
  <c r="Q6" i="6" s="1"/>
  <c r="AZ24" i="6"/>
  <c r="P4" i="6" s="1"/>
  <c r="AU23" i="6"/>
  <c r="K3" i="6" s="1"/>
  <c r="AZ27" i="6"/>
  <c r="P7" i="6" s="1"/>
  <c r="AZ28" i="6"/>
  <c r="P8" i="6" s="1"/>
  <c r="AZ29" i="6"/>
  <c r="P9" i="6" s="1"/>
  <c r="AW22" i="6"/>
  <c r="M2" i="6" s="1"/>
  <c r="AX29" i="6"/>
  <c r="N9" i="6" s="1"/>
  <c r="AY26" i="6"/>
  <c r="O6" i="6" s="1"/>
  <c r="AV24" i="6"/>
  <c r="L4" i="6" s="1"/>
  <c r="BA23" i="6"/>
  <c r="Q3" i="6" s="1"/>
  <c r="AY27" i="6"/>
  <c r="O7" i="6" s="1"/>
  <c r="BA24" i="6"/>
  <c r="Q4" i="6" s="1"/>
  <c r="AY22" i="6"/>
  <c r="O2" i="6" s="1"/>
  <c r="AY24" i="6"/>
  <c r="O4" i="6" s="1"/>
  <c r="AY29" i="6"/>
  <c r="O9" i="6" s="1"/>
  <c r="AY28" i="6"/>
  <c r="O8" i="6" s="1"/>
  <c r="AX27" i="6"/>
  <c r="N7" i="6" s="1"/>
  <c r="AW26" i="6"/>
  <c r="M6" i="6" s="1"/>
  <c r="AU26" i="6"/>
  <c r="K6" i="6" s="1"/>
  <c r="AW25" i="6"/>
  <c r="M5" i="6" s="1"/>
  <c r="AT27" i="6"/>
  <c r="J7" i="6" s="1"/>
  <c r="AU22" i="6"/>
  <c r="K2" i="6" s="1"/>
  <c r="AU25" i="6"/>
  <c r="K5" i="6" s="1"/>
  <c r="AU28" i="6"/>
  <c r="K8" i="6" s="1"/>
  <c r="AX24" i="6"/>
  <c r="N4" i="6" s="1"/>
  <c r="AZ23" i="6"/>
  <c r="P3" i="6" s="1"/>
  <c r="AX25" i="6"/>
  <c r="N5" i="6" s="1"/>
  <c r="AX26" i="6"/>
  <c r="N6" i="6" s="1"/>
  <c r="BA28" i="6"/>
  <c r="Q8" i="6" s="1"/>
  <c r="AT28" i="6"/>
  <c r="J8" i="6" s="1"/>
  <c r="AT25" i="6"/>
  <c r="J5" i="6" s="1"/>
  <c r="AU24" i="6"/>
  <c r="K4" i="6" s="1"/>
  <c r="AZ26" i="6"/>
  <c r="P6" i="6" s="1"/>
  <c r="AW23" i="6"/>
  <c r="M3" i="6" s="1"/>
  <c r="AV26" i="6"/>
  <c r="L6" i="6" s="1"/>
  <c r="BA29" i="6"/>
  <c r="Q9" i="6" s="1"/>
  <c r="AW28" i="6"/>
  <c r="M8" i="6" s="1"/>
  <c r="AT24" i="6"/>
  <c r="J4" i="6" s="1"/>
  <c r="AW27" i="6"/>
  <c r="M7" i="6" s="1"/>
  <c r="AX23" i="6"/>
  <c r="N3" i="6" s="1"/>
  <c r="AY25" i="6"/>
  <c r="O5" i="6" s="1"/>
  <c r="BA25" i="6"/>
  <c r="Q5" i="6" s="1"/>
  <c r="AV23" i="6"/>
  <c r="L3" i="6" s="1"/>
  <c r="AW24" i="6"/>
  <c r="M4" i="6" s="1"/>
  <c r="AT22" i="6"/>
  <c r="J2" i="6" s="1"/>
  <c r="AU27" i="6"/>
  <c r="K7" i="6" s="1"/>
  <c r="AV28" i="6"/>
  <c r="L8" i="6" s="1"/>
</calcChain>
</file>

<file path=xl/sharedStrings.xml><?xml version="1.0" encoding="utf-8"?>
<sst xmlns="http://schemas.openxmlformats.org/spreadsheetml/2006/main" count="16" uniqueCount="10">
  <si>
    <t>N =</t>
  </si>
  <si>
    <t xml:space="preserve">             j 
      i</t>
  </si>
  <si>
    <t>ШАГ 1 [DCT * IMG]</t>
  </si>
  <si>
    <r>
      <t>ШАГ 2 [DCT * IMG * DCT</t>
    </r>
    <r>
      <rPr>
        <vertAlign val="superscript"/>
        <sz val="11"/>
        <color theme="1"/>
        <rFont val="Calibri"/>
        <family val="2"/>
        <charset val="204"/>
        <scheme val="minor"/>
      </rPr>
      <t>T</t>
    </r>
    <r>
      <rPr>
        <sz val="11"/>
        <color theme="1"/>
        <rFont val="Calibri"/>
        <family val="2"/>
        <scheme val="minor"/>
      </rPr>
      <t>]</t>
    </r>
  </si>
  <si>
    <t>q =</t>
  </si>
  <si>
    <t>Далее RLE-алгоритм сжатия</t>
  </si>
  <si>
    <t>22136 бит</t>
  </si>
  <si>
    <t xml:space="preserve">ШАГ 2 </t>
  </si>
  <si>
    <t xml:space="preserve">ШАГ 3 </t>
  </si>
  <si>
    <t xml:space="preserve">ШАГ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</si>
</sst>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medium">
        <color auto="1"/>
      </diagonal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  <xf numFmtId="164" fontId="0" fillId="2" borderId="3" xfId="0" applyNumberFormat="1" applyFill="1" applyBorder="1" applyAlignment="1">
      <alignment horizontal="center" vertical="center"/>
    </xf>
    <xf numFmtId="164" fontId="0" fillId="2" borderId="4" xfId="0" applyNumberFormat="1" applyFill="1" applyBorder="1" applyAlignment="1">
      <alignment horizontal="center" vertical="center"/>
    </xf>
    <xf numFmtId="164" fontId="0" fillId="3" borderId="2" xfId="0" applyNumberFormat="1" applyFill="1" applyBorder="1" applyAlignment="1">
      <alignment horizontal="center" vertical="center"/>
    </xf>
    <xf numFmtId="164" fontId="0" fillId="3" borderId="3" xfId="0" applyNumberFormat="1" applyFill="1" applyBorder="1" applyAlignment="1">
      <alignment horizontal="center" vertical="center"/>
    </xf>
    <xf numFmtId="164" fontId="0" fillId="3" borderId="4" xfId="0" applyNumberFormat="1" applyFill="1" applyBorder="1" applyAlignment="1">
      <alignment horizontal="center" vertical="center"/>
    </xf>
    <xf numFmtId="164" fontId="0" fillId="2" borderId="5" xfId="0" applyNumberForma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2" borderId="6" xfId="0" applyNumberFormat="1" applyFill="1" applyBorder="1" applyAlignment="1">
      <alignment horizontal="center" vertical="center"/>
    </xf>
    <xf numFmtId="164" fontId="0" fillId="3" borderId="5" xfId="0" applyNumberForma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164" fontId="0" fillId="3" borderId="6" xfId="0" applyNumberFormat="1" applyFill="1" applyBorder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164" fontId="0" fillId="2" borderId="7" xfId="0" applyNumberFormat="1" applyFill="1" applyBorder="1" applyAlignment="1">
      <alignment horizontal="center" vertical="center"/>
    </xf>
    <xf numFmtId="164" fontId="0" fillId="2" borderId="8" xfId="0" applyNumberFormat="1" applyFill="1" applyBorder="1" applyAlignment="1">
      <alignment horizontal="center" vertical="center"/>
    </xf>
    <xf numFmtId="164" fontId="0" fillId="2" borderId="9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164" fontId="0" fillId="3" borderId="8" xfId="0" applyNumberFormat="1" applyFill="1" applyBorder="1" applyAlignment="1">
      <alignment horizontal="center" vertical="center"/>
    </xf>
    <xf numFmtId="164" fontId="0" fillId="3" borderId="9" xfId="0" applyNumberFormat="1" applyFill="1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0" fontId="0" fillId="0" borderId="14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0" fontId="0" fillId="6" borderId="27" xfId="0" applyFill="1" applyBorder="1" applyAlignment="1">
      <alignment horizontal="center" vertical="center"/>
    </xf>
    <xf numFmtId="0" fontId="0" fillId="6" borderId="28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29" xfId="0" applyFill="1" applyBorder="1" applyAlignment="1">
      <alignment horizontal="center" vertical="center"/>
    </xf>
    <xf numFmtId="0" fontId="0" fillId="5" borderId="30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3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36" xfId="0" applyFill="1" applyBorder="1" applyAlignment="1">
      <alignment horizontal="center" vertical="center"/>
    </xf>
    <xf numFmtId="0" fontId="0" fillId="4" borderId="32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34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6" borderId="30" xfId="0" applyFill="1" applyBorder="1" applyAlignment="1">
      <alignment horizontal="center" vertical="center"/>
    </xf>
    <xf numFmtId="164" fontId="0" fillId="3" borderId="37" xfId="0" applyNumberFormat="1" applyFill="1" applyBorder="1" applyAlignment="1">
      <alignment horizontal="center" vertical="center"/>
    </xf>
    <xf numFmtId="164" fontId="0" fillId="3" borderId="18" xfId="0" applyNumberFormat="1" applyFill="1" applyBorder="1" applyAlignment="1">
      <alignment horizontal="center" vertical="center"/>
    </xf>
    <xf numFmtId="164" fontId="0" fillId="3" borderId="36" xfId="0" applyNumberFormat="1" applyFill="1" applyBorder="1" applyAlignment="1">
      <alignment horizontal="center" vertical="center"/>
    </xf>
    <xf numFmtId="164" fontId="0" fillId="2" borderId="37" xfId="0" applyNumberFormat="1" applyFill="1" applyBorder="1" applyAlignment="1">
      <alignment horizontal="center" vertical="center"/>
    </xf>
    <xf numFmtId="164" fontId="0" fillId="2" borderId="18" xfId="0" applyNumberFormat="1" applyFill="1" applyBorder="1" applyAlignment="1">
      <alignment horizontal="center" vertical="center"/>
    </xf>
    <xf numFmtId="164" fontId="0" fillId="2" borderId="36" xfId="0" applyNumberFormat="1" applyFill="1" applyBorder="1" applyAlignment="1">
      <alignment horizontal="center" vertical="center"/>
    </xf>
    <xf numFmtId="0" fontId="0" fillId="5" borderId="38" xfId="0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2" borderId="41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42" xfId="0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43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0" fontId="0" fillId="8" borderId="44" xfId="0" applyFill="1" applyBorder="1" applyAlignment="1">
      <alignment horizontal="center"/>
    </xf>
    <xf numFmtId="0" fontId="0" fillId="8" borderId="45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65"/>
  <sheetViews>
    <sheetView tabSelected="1" zoomScale="60" zoomScaleNormal="60" workbookViewId="0">
      <selection activeCell="AK7" sqref="AK7"/>
    </sheetView>
  </sheetViews>
  <sheetFormatPr defaultRowHeight="14.4" x14ac:dyDescent="0.3"/>
  <sheetData>
    <row r="1" spans="1:35" ht="15" thickBot="1" x14ac:dyDescent="0.35">
      <c r="B1" s="19">
        <v>0</v>
      </c>
      <c r="C1" s="19">
        <v>1</v>
      </c>
      <c r="D1" s="19">
        <v>2</v>
      </c>
      <c r="E1" s="19">
        <v>3</v>
      </c>
      <c r="F1" s="19">
        <v>4</v>
      </c>
      <c r="G1" s="19">
        <v>5</v>
      </c>
      <c r="H1" s="19">
        <v>6</v>
      </c>
      <c r="I1" s="19">
        <v>7</v>
      </c>
      <c r="J1" s="19">
        <v>0</v>
      </c>
      <c r="K1" s="19">
        <v>1</v>
      </c>
      <c r="L1" s="19">
        <v>2</v>
      </c>
      <c r="M1" s="19">
        <v>3</v>
      </c>
      <c r="N1" s="19">
        <v>4</v>
      </c>
      <c r="O1" s="19">
        <v>5</v>
      </c>
      <c r="P1" s="19">
        <v>6</v>
      </c>
      <c r="Q1" s="19">
        <v>7</v>
      </c>
      <c r="T1" s="19">
        <v>0</v>
      </c>
      <c r="U1" s="19">
        <v>1</v>
      </c>
      <c r="V1" s="19">
        <v>2</v>
      </c>
      <c r="W1" s="19">
        <v>3</v>
      </c>
      <c r="X1" s="19">
        <v>4</v>
      </c>
      <c r="Y1" s="19">
        <v>5</v>
      </c>
      <c r="Z1" s="19">
        <v>6</v>
      </c>
      <c r="AA1" s="19">
        <v>7</v>
      </c>
      <c r="AB1" s="19">
        <v>8</v>
      </c>
      <c r="AC1" s="19">
        <v>9</v>
      </c>
      <c r="AD1" s="19">
        <v>10</v>
      </c>
      <c r="AE1" s="19">
        <v>11</v>
      </c>
      <c r="AF1" s="19">
        <v>12</v>
      </c>
      <c r="AG1" s="19">
        <v>13</v>
      </c>
      <c r="AH1" s="19">
        <v>14</v>
      </c>
      <c r="AI1" s="19">
        <v>15</v>
      </c>
    </row>
    <row r="2" spans="1:35" ht="40.049999999999997" customHeight="1" x14ac:dyDescent="0.3">
      <c r="A2" s="20">
        <v>0</v>
      </c>
      <c r="B2" s="1">
        <f>ROUNDUP(0.299 * 229 + 0.587 * 92 + 0.114 * 87, 0)</f>
        <v>133</v>
      </c>
      <c r="C2" s="2">
        <f>ROUNDUP(0.299 * 242 + 0.587 * 145 + 0.114 * 90, 0)</f>
        <v>168</v>
      </c>
      <c r="D2" s="2">
        <f>ROUNDUP(0.299 * 242 + 0.587 * 172 + 0.114 * 91, 0)</f>
        <v>184</v>
      </c>
      <c r="E2" s="2">
        <f>ROUNDUP(0.299 * 242 + 0.587 * 175 + 0.114 * 91, 0)</f>
        <v>186</v>
      </c>
      <c r="F2" s="2">
        <f>ROUNDUP(0.299 * 242 + 0.587 * 208 + 0.114 * 91, 0)</f>
        <v>205</v>
      </c>
      <c r="G2" s="2">
        <f>ROUNDUP(0.299 * 242 + 0.587 * 236 + 0.114 * 91, 0)</f>
        <v>222</v>
      </c>
      <c r="H2" s="2">
        <f>ROUNDUP(0.299 * 242 + 0.587 * 242 + 0.114 * 95, 0)</f>
        <v>226</v>
      </c>
      <c r="I2" s="3">
        <f>ROUNDUP(0.299 * 211 + 0.587 * 243 + 0.114 * 97, 0)</f>
        <v>217</v>
      </c>
      <c r="J2" s="4">
        <f>ROUNDUP(0.299 * 147 + 0.587 * 245 + 0.114 * 92, 0)</f>
        <v>199</v>
      </c>
      <c r="K2" s="5">
        <f>ROUNDUP(0.299 * 99 + 0.587 * 244 + 0.114 * 102, 0)</f>
        <v>185</v>
      </c>
      <c r="L2" s="5">
        <f>ROUNDUP(0.299 * 86 + 0.587 * 242 + 0.114 * 147, 0)</f>
        <v>185</v>
      </c>
      <c r="M2" s="5">
        <f>ROUNDUP(0.299 * 91 + 0.587 * 242 + 0.114 * 214, 0)</f>
        <v>194</v>
      </c>
      <c r="N2" s="5">
        <f>ROUNDUP(0.299 * 91 + 0.587 * 232 + 0.114 * 242, 0)</f>
        <v>191</v>
      </c>
      <c r="O2" s="5">
        <f>ROUNDUP(0.299 * 91 + 0.587 * 204 + 0.114 * 242, 0)</f>
        <v>175</v>
      </c>
      <c r="P2" s="5">
        <f>ROUNDUP(0.299 * 90 + 0.587 * 153 + 0.114 * 242, 0)</f>
        <v>145</v>
      </c>
      <c r="Q2" s="6">
        <f>ROUNDUP(0.299 * 88 + 0.587 * 101 + 0.114 * 229, 0)</f>
        <v>112</v>
      </c>
      <c r="S2" s="20">
        <v>0</v>
      </c>
      <c r="T2" s="103">
        <f>B2</f>
        <v>133</v>
      </c>
      <c r="U2" s="103">
        <f t="shared" ref="U2:AI2" si="0">C2</f>
        <v>168</v>
      </c>
      <c r="V2" s="103">
        <f t="shared" si="0"/>
        <v>184</v>
      </c>
      <c r="W2" s="103">
        <f t="shared" si="0"/>
        <v>186</v>
      </c>
      <c r="X2" s="103">
        <f t="shared" si="0"/>
        <v>205</v>
      </c>
      <c r="Y2" s="103">
        <f t="shared" si="0"/>
        <v>222</v>
      </c>
      <c r="Z2" s="103">
        <f t="shared" si="0"/>
        <v>226</v>
      </c>
      <c r="AA2" s="103">
        <f t="shared" si="0"/>
        <v>217</v>
      </c>
      <c r="AB2" s="103">
        <f t="shared" si="0"/>
        <v>199</v>
      </c>
      <c r="AC2" s="103">
        <f t="shared" si="0"/>
        <v>185</v>
      </c>
      <c r="AD2" s="103">
        <f t="shared" si="0"/>
        <v>185</v>
      </c>
      <c r="AE2" s="103">
        <f t="shared" si="0"/>
        <v>194</v>
      </c>
      <c r="AF2" s="103">
        <f t="shared" si="0"/>
        <v>191</v>
      </c>
      <c r="AG2" s="103">
        <f t="shared" si="0"/>
        <v>175</v>
      </c>
      <c r="AH2" s="103">
        <f t="shared" si="0"/>
        <v>145</v>
      </c>
      <c r="AI2" s="103">
        <f t="shared" si="0"/>
        <v>112</v>
      </c>
    </row>
    <row r="3" spans="1:35" ht="40.049999999999997" customHeight="1" x14ac:dyDescent="0.3">
      <c r="A3" s="20">
        <v>1</v>
      </c>
      <c r="B3" s="7">
        <f>ROUNDUP(0.299 * 255 + 0.587 * 99 + 0.114 * 94, 0)</f>
        <v>146</v>
      </c>
      <c r="C3" s="8">
        <f>ROUNDUP(0.299 * 255 + 0.587 * 150 + 0.114 * 92, 0)</f>
        <v>175</v>
      </c>
      <c r="D3" s="8">
        <f>ROUNDUP(0.299 * 255 + 0.587 * 179 + 0.114 * 93, 0)</f>
        <v>192</v>
      </c>
      <c r="E3" s="8">
        <f>ROUNDUP(0.299 * 255 + 0.587 * 182 + 0.114 * 92, 0)</f>
        <v>194</v>
      </c>
      <c r="F3" s="8">
        <f>ROUNDUP(0.299 * 255 + 0.587 * 216 + 0.114 * 92, 0)</f>
        <v>214</v>
      </c>
      <c r="G3" s="8">
        <f>ROUNDUP(0.299 * 255 + 0.587 * 255 + 0.114 * 108, 0)</f>
        <v>239</v>
      </c>
      <c r="H3" s="8">
        <f>ROUNDUP(0.299 * 250 + 0.587 * 255 + 0.114 * 84, 0)</f>
        <v>235</v>
      </c>
      <c r="I3" s="9">
        <f>ROUNDUP(0.299 * 208 + 0.587 * 246 + 0.114 * 91, 0)</f>
        <v>217</v>
      </c>
      <c r="J3" s="10">
        <f>ROUNDUP(0.299 * 134 + 0.587 * 254 + 0.114 * 97, 0)</f>
        <v>201</v>
      </c>
      <c r="K3" s="11">
        <f>ROUNDUP(0.299 * 98 + 0.587 * 253 + 0.114 * 102, 0)</f>
        <v>190</v>
      </c>
      <c r="L3" s="11">
        <f>ROUNDUP(0.299 * 101 + 0.587 * 255 + 0.114 * 175, 0)</f>
        <v>200</v>
      </c>
      <c r="M3" s="11">
        <f>ROUNDUP(0.299 * 102 + 0.587 * 255 + 0.114 * 243, 0)</f>
        <v>208</v>
      </c>
      <c r="N3" s="11">
        <f>ROUNDUP(0.299 * 90 + 0.587 * 242 + 0.114 * 255, 0)</f>
        <v>199</v>
      </c>
      <c r="O3" s="11">
        <f>ROUNDUP(0.299 * 93 + 0.587 * 214 + 0.114 * 255, 0)</f>
        <v>183</v>
      </c>
      <c r="P3" s="11">
        <f>ROUNDUP(0.299 * 92 + 0.587 * 158 + 0.114 * 255, 0)</f>
        <v>150</v>
      </c>
      <c r="Q3" s="12">
        <f>ROUNDUP(0.299 * 95 + 0.587 * 110 + 0.114 * 255, 0)</f>
        <v>123</v>
      </c>
      <c r="S3" s="20">
        <v>1</v>
      </c>
      <c r="T3" s="103">
        <f t="shared" ref="T3:T17" si="1">B3</f>
        <v>146</v>
      </c>
      <c r="U3" s="103">
        <f t="shared" ref="U3:U17" si="2">C3</f>
        <v>175</v>
      </c>
      <c r="V3" s="103">
        <f t="shared" ref="V3:V17" si="3">D3</f>
        <v>192</v>
      </c>
      <c r="W3" s="103">
        <f t="shared" ref="W3:W17" si="4">E3</f>
        <v>194</v>
      </c>
      <c r="X3" s="103">
        <f t="shared" ref="X3:X17" si="5">F3</f>
        <v>214</v>
      </c>
      <c r="Y3" s="103">
        <f t="shared" ref="Y3:Y17" si="6">G3</f>
        <v>239</v>
      </c>
      <c r="Z3" s="103">
        <f t="shared" ref="Z3:Z17" si="7">H3</f>
        <v>235</v>
      </c>
      <c r="AA3" s="103">
        <f t="shared" ref="AA3:AA17" si="8">I3</f>
        <v>217</v>
      </c>
      <c r="AB3" s="103">
        <f t="shared" ref="AB3:AB17" si="9">J3</f>
        <v>201</v>
      </c>
      <c r="AC3" s="103">
        <f t="shared" ref="AC3:AC17" si="10">K3</f>
        <v>190</v>
      </c>
      <c r="AD3" s="103">
        <f t="shared" ref="AD3:AD17" si="11">L3</f>
        <v>200</v>
      </c>
      <c r="AE3" s="103">
        <f t="shared" ref="AE3:AE17" si="12">M3</f>
        <v>208</v>
      </c>
      <c r="AF3" s="103">
        <f t="shared" ref="AF3:AF17" si="13">N3</f>
        <v>199</v>
      </c>
      <c r="AG3" s="103">
        <f t="shared" ref="AG3:AG17" si="14">O3</f>
        <v>183</v>
      </c>
      <c r="AH3" s="103">
        <f t="shared" ref="AH3:AH17" si="15">P3</f>
        <v>150</v>
      </c>
      <c r="AI3" s="103">
        <f t="shared" ref="AI3:AI17" si="16">Q3</f>
        <v>123</v>
      </c>
    </row>
    <row r="4" spans="1:35" ht="40.049999999999997" customHeight="1" x14ac:dyDescent="0.3">
      <c r="A4" s="20">
        <v>2</v>
      </c>
      <c r="B4" s="7">
        <f>ROUNDUP(0.299 * 242 + 0.587 * 95 + 0.114 * 90, 0)</f>
        <v>139</v>
      </c>
      <c r="C4" s="8">
        <f>ROUNDUP(0.299 * 255 + 0.587 * 151 + 0.114 * 93, 0)</f>
        <v>176</v>
      </c>
      <c r="D4" s="8">
        <f>ROUNDUP(0.299 * 255 + 0.587 * 180 + 0.114 * 94, 0)</f>
        <v>193</v>
      </c>
      <c r="E4" s="8">
        <f>ROUNDUP(0.299 * 255 + 0.587 * 179 + 0.114 * 93, 0)</f>
        <v>192</v>
      </c>
      <c r="F4" s="8">
        <f>ROUNDUP(0.299 * 255 + 0.587 * 255 + 0.114 * 113, 0)</f>
        <v>239</v>
      </c>
      <c r="G4" s="8">
        <f>ROUNDUP(0.299 * 176 + 0.587 * 172 + 0.114 * 52, 0)</f>
        <v>160</v>
      </c>
      <c r="H4" s="8">
        <f>ROUNDUP(0.299 * 44 + 0.587 * 48 + 0.114 * 24, 0)</f>
        <v>45</v>
      </c>
      <c r="I4" s="9">
        <f>ROUNDUP(0.299 * 93 + 0.587 * 101 + 0.114 * 87, 0)</f>
        <v>98</v>
      </c>
      <c r="J4" s="10">
        <f>ROUNDUP(0.299 * 98 + 0.587 * 110 + 0.114 * 96, 0)</f>
        <v>105</v>
      </c>
      <c r="K4" s="11">
        <f>ROUNDUP(0.299 * 73 + 0.587 * 100 + 0.114 * 74, 0)</f>
        <v>89</v>
      </c>
      <c r="L4" s="11">
        <f>ROUNDUP(0.299 * 37 + 0.587 * 107 + 0.114 * 62, 0)</f>
        <v>81</v>
      </c>
      <c r="M4" s="11">
        <f>ROUNDUP(0.299 * 93 + 0.587 * 248 + 0.114 * 225, 0)</f>
        <v>200</v>
      </c>
      <c r="N4" s="11">
        <f>ROUNDUP(0.299 * 104 + 0.587 * 255 + 0.114 * 255, 0)</f>
        <v>210</v>
      </c>
      <c r="O4" s="11">
        <f>ROUNDUP(0.299 * 92 + 0.587 * 210 + 0.114 * 255, 0)</f>
        <v>180</v>
      </c>
      <c r="P4" s="11">
        <f>ROUNDUP(0.299 * 93 + 0.587 * 159 + 0.114 * 255, 0)</f>
        <v>151</v>
      </c>
      <c r="Q4" s="12">
        <f>ROUNDUP(0.299 * 91 + 0.587 * 105 + 0.114 * 242, 0)</f>
        <v>117</v>
      </c>
      <c r="S4" s="20">
        <v>2</v>
      </c>
      <c r="T4" s="103">
        <f t="shared" si="1"/>
        <v>139</v>
      </c>
      <c r="U4" s="103">
        <f t="shared" si="2"/>
        <v>176</v>
      </c>
      <c r="V4" s="103">
        <f t="shared" si="3"/>
        <v>193</v>
      </c>
      <c r="W4" s="103">
        <f t="shared" si="4"/>
        <v>192</v>
      </c>
      <c r="X4" s="103">
        <f t="shared" si="5"/>
        <v>239</v>
      </c>
      <c r="Y4" s="103">
        <f t="shared" si="6"/>
        <v>160</v>
      </c>
      <c r="Z4" s="103">
        <f t="shared" si="7"/>
        <v>45</v>
      </c>
      <c r="AA4" s="103">
        <f t="shared" si="8"/>
        <v>98</v>
      </c>
      <c r="AB4" s="103">
        <f t="shared" si="9"/>
        <v>105</v>
      </c>
      <c r="AC4" s="103">
        <f t="shared" si="10"/>
        <v>89</v>
      </c>
      <c r="AD4" s="103">
        <f t="shared" si="11"/>
        <v>81</v>
      </c>
      <c r="AE4" s="103">
        <f t="shared" si="12"/>
        <v>200</v>
      </c>
      <c r="AF4" s="103">
        <f t="shared" si="13"/>
        <v>210</v>
      </c>
      <c r="AG4" s="103">
        <f t="shared" si="14"/>
        <v>180</v>
      </c>
      <c r="AH4" s="103">
        <f t="shared" si="15"/>
        <v>151</v>
      </c>
      <c r="AI4" s="103">
        <f t="shared" si="16"/>
        <v>117</v>
      </c>
    </row>
    <row r="5" spans="1:35" ht="40.049999999999997" customHeight="1" x14ac:dyDescent="0.3">
      <c r="A5" s="20">
        <v>3</v>
      </c>
      <c r="B5" s="7">
        <f>ROUNDUP(0.299 * 242 + 0.587 * 95 + 0.114 * 90, 0)</f>
        <v>139</v>
      </c>
      <c r="C5" s="8">
        <f>ROUNDUP(0.299 * 255 + 0.587 * 151 + 0.114 * 93, 0)</f>
        <v>176</v>
      </c>
      <c r="D5" s="8">
        <f>ROUNDUP(0.299 * 255 + 0.587 * 180 + 0.114 * 94, 0)</f>
        <v>193</v>
      </c>
      <c r="E5" s="8">
        <f>ROUNDUP(0.299 * 255 + 0.587 * 201 + 0.114 * 101, 0)</f>
        <v>206</v>
      </c>
      <c r="F5" s="8">
        <f>ROUNDUP(0.299 * 228 + 0.587 * 206 + 0.114 * 76, 0)</f>
        <v>198</v>
      </c>
      <c r="G5" s="8">
        <f>ROUNDUP(0.299 * 4 + 0.587 * 7 + 0.114 * 6, 0)</f>
        <v>6</v>
      </c>
      <c r="H5" s="8">
        <f>ROUNDUP(0.299 * 155 + 0.587 * 161 + 0.114 * 203, 0)</f>
        <v>164</v>
      </c>
      <c r="I5" s="9">
        <f>ROUNDUP(0.299 * 255 + 0.587 * 255 + 0.114 * 255, 0)</f>
        <v>255</v>
      </c>
      <c r="J5" s="10">
        <f>ROUNDUP(0.299 * 194 + 0.587 * 182 + 0.114 * 203, 0)</f>
        <v>188</v>
      </c>
      <c r="K5" s="11">
        <f>ROUNDUP(0.299 * 146 + 0.587 * 125 + 0.114 * 146, 0)</f>
        <v>134</v>
      </c>
      <c r="L5" s="11">
        <f>ROUNDUP(0.299 * 11 + 0.587 * 0 + 0.114 * 0, 0)</f>
        <v>4</v>
      </c>
      <c r="M5" s="11">
        <f>ROUNDUP(0.299 * 0 + 0.587 * 7 + 0.114 * 4, 0)</f>
        <v>5</v>
      </c>
      <c r="N5" s="11">
        <f>ROUNDUP(0.299 * 109 + 0.587 * 255 + 0.114 * 255, 0)</f>
        <v>212</v>
      </c>
      <c r="O5" s="11">
        <f>ROUNDUP(0.299 * 103 + 0.587 * 233 + 0.114 * 255, 0)</f>
        <v>197</v>
      </c>
      <c r="P5" s="11">
        <f>ROUNDUP(0.299 * 92 + 0.587 * 156 + 0.114 * 255, 0)</f>
        <v>149</v>
      </c>
      <c r="Q5" s="12">
        <f>ROUNDUP(0.299 * 91 + 0.587 * 105 + 0.114 * 242, 0)</f>
        <v>117</v>
      </c>
      <c r="S5" s="20">
        <v>3</v>
      </c>
      <c r="T5" s="103">
        <f t="shared" si="1"/>
        <v>139</v>
      </c>
      <c r="U5" s="103">
        <f t="shared" si="2"/>
        <v>176</v>
      </c>
      <c r="V5" s="103">
        <f t="shared" si="3"/>
        <v>193</v>
      </c>
      <c r="W5" s="103">
        <f t="shared" si="4"/>
        <v>206</v>
      </c>
      <c r="X5" s="103">
        <f t="shared" si="5"/>
        <v>198</v>
      </c>
      <c r="Y5" s="103">
        <f t="shared" si="6"/>
        <v>6</v>
      </c>
      <c r="Z5" s="103">
        <f t="shared" si="7"/>
        <v>164</v>
      </c>
      <c r="AA5" s="103">
        <f t="shared" si="8"/>
        <v>255</v>
      </c>
      <c r="AB5" s="103">
        <f t="shared" si="9"/>
        <v>188</v>
      </c>
      <c r="AC5" s="103">
        <f t="shared" si="10"/>
        <v>134</v>
      </c>
      <c r="AD5" s="103">
        <f t="shared" si="11"/>
        <v>4</v>
      </c>
      <c r="AE5" s="103">
        <f t="shared" si="12"/>
        <v>5</v>
      </c>
      <c r="AF5" s="103">
        <f t="shared" si="13"/>
        <v>212</v>
      </c>
      <c r="AG5" s="103">
        <f t="shared" si="14"/>
        <v>197</v>
      </c>
      <c r="AH5" s="103">
        <f t="shared" si="15"/>
        <v>149</v>
      </c>
      <c r="AI5" s="103">
        <f t="shared" si="16"/>
        <v>117</v>
      </c>
    </row>
    <row r="6" spans="1:35" ht="40.049999999999997" customHeight="1" x14ac:dyDescent="0.3">
      <c r="A6" s="20">
        <v>4</v>
      </c>
      <c r="B6" s="7">
        <f>ROUNDUP(0.299 * 242 + 0.587 * 95 + 0.114 * 90, 0)</f>
        <v>139</v>
      </c>
      <c r="C6" s="8">
        <f>ROUNDUP(0.299 * 255 + 0.587 * 146 + 0.114 * 91, 0)</f>
        <v>173</v>
      </c>
      <c r="D6" s="8">
        <f>ROUNDUP(0.299 * 255 + 0.587 * 192 + 0.114 * 101, 0)</f>
        <v>201</v>
      </c>
      <c r="E6" s="8">
        <f>ROUNDUP(0.299 * 255 + 0.587 * 255 + 0.114 * 123, 0)</f>
        <v>240</v>
      </c>
      <c r="F6" s="8">
        <f>ROUNDUP(0.299 * 128 + 0.587 * 93 + 0.114 * 8, 0)</f>
        <v>94</v>
      </c>
      <c r="G6" s="8">
        <f>ROUNDUP(0.299 * 54 + 0.587 * 70 + 0.114 * 108, 0)</f>
        <v>70</v>
      </c>
      <c r="H6" s="8">
        <f>ROUNDUP(0.299 * 255 + 0.587 * 255 + 0.114 * 255, 0)</f>
        <v>255</v>
      </c>
      <c r="I6" s="9">
        <f>ROUNDUP(0.299 * 70 + 0.587 * 71 + 0.114 * 72, 0)</f>
        <v>71</v>
      </c>
      <c r="J6" s="10">
        <f>ROUNDUP(0.299 * 70 + 0.587 * 87 + 0.114 * 94, 0)</f>
        <v>83</v>
      </c>
      <c r="K6" s="11">
        <f>ROUNDUP(0.299 * 137 + 0.587 * 147 + 0.114 * 148, 0)</f>
        <v>145</v>
      </c>
      <c r="L6" s="11">
        <f>ROUNDUP(0.299 * 161 + 0.587 * 161 + 0.114 * 163, 0)</f>
        <v>162</v>
      </c>
      <c r="M6" s="11">
        <f>ROUNDUP(0.299 * 54 + 0.587 * 29 + 0.114 * 30, 0)</f>
        <v>37</v>
      </c>
      <c r="N6" s="11">
        <f>ROUNDUP(0.299 * 29 + 0.587 * 98 + 0.114 * 106, 0)</f>
        <v>79</v>
      </c>
      <c r="O6" s="11">
        <f>ROUNDUP(0.299 * 105 + 0.587 * 245 + 0.114 * 255, 0)</f>
        <v>205</v>
      </c>
      <c r="P6" s="11">
        <f>ROUNDUP(0.299 * 94 + 0.587 * 161 + 0.114 * 255, 0)</f>
        <v>152</v>
      </c>
      <c r="Q6" s="12">
        <f>ROUNDUP(0.299 * 91 + 0.587 * 105 + 0.114 * 242, 0)</f>
        <v>117</v>
      </c>
      <c r="S6" s="20">
        <v>4</v>
      </c>
      <c r="T6" s="103">
        <f t="shared" si="1"/>
        <v>139</v>
      </c>
      <c r="U6" s="103">
        <f t="shared" si="2"/>
        <v>173</v>
      </c>
      <c r="V6" s="103">
        <f t="shared" si="3"/>
        <v>201</v>
      </c>
      <c r="W6" s="103">
        <f t="shared" si="4"/>
        <v>240</v>
      </c>
      <c r="X6" s="103">
        <f t="shared" si="5"/>
        <v>94</v>
      </c>
      <c r="Y6" s="103">
        <f t="shared" si="6"/>
        <v>70</v>
      </c>
      <c r="Z6" s="103">
        <f t="shared" si="7"/>
        <v>255</v>
      </c>
      <c r="AA6" s="103">
        <f t="shared" si="8"/>
        <v>71</v>
      </c>
      <c r="AB6" s="103">
        <f t="shared" si="9"/>
        <v>83</v>
      </c>
      <c r="AC6" s="103">
        <f t="shared" si="10"/>
        <v>145</v>
      </c>
      <c r="AD6" s="103">
        <f t="shared" si="11"/>
        <v>162</v>
      </c>
      <c r="AE6" s="103">
        <f t="shared" si="12"/>
        <v>37</v>
      </c>
      <c r="AF6" s="103">
        <f t="shared" si="13"/>
        <v>79</v>
      </c>
      <c r="AG6" s="103">
        <f t="shared" si="14"/>
        <v>205</v>
      </c>
      <c r="AH6" s="103">
        <f t="shared" si="15"/>
        <v>152</v>
      </c>
      <c r="AI6" s="103">
        <f t="shared" si="16"/>
        <v>117</v>
      </c>
    </row>
    <row r="7" spans="1:35" ht="40.049999999999997" customHeight="1" x14ac:dyDescent="0.3">
      <c r="A7" s="20">
        <v>5</v>
      </c>
      <c r="B7" s="7">
        <f>ROUNDUP(0.299 * 142 + 0.587 * 95 + 0.114 * 90, 0)</f>
        <v>109</v>
      </c>
      <c r="C7" s="8">
        <f>ROUNDUP(0.299 * 255 + 0.587 * 161 + 0.114 * 98, 0)</f>
        <v>182</v>
      </c>
      <c r="D7" s="8">
        <f>ROUNDUP(0.299 * 241 + 0.587 * 177 + 0.114 * 91, 0)</f>
        <v>187</v>
      </c>
      <c r="E7" s="8">
        <f>ROUNDUP(0.299 * 115 + 0.587 * 92 + 0.114 * 37, 0)</f>
        <v>93</v>
      </c>
      <c r="F7" s="8">
        <f>ROUNDUP(0.299 * 17 + 0.587 * 11 + 0.114 * 0, 0)</f>
        <v>12</v>
      </c>
      <c r="G7" s="8">
        <f>ROUNDUP(0.299 * 139 + 0.587 * 152 + 0.114 * 182, 0)</f>
        <v>152</v>
      </c>
      <c r="H7" s="8">
        <f>ROUNDUP(0.299 * 207 + 0.587 * 210 + 0.114 * 222, 0)</f>
        <v>211</v>
      </c>
      <c r="I7" s="9">
        <f>ROUNDUP(0.299 * 0 + 0.587 * 4 + 0.114 * 6, 0)</f>
        <v>4</v>
      </c>
      <c r="J7" s="10">
        <f>ROUNDUP(0.299 * 175 + 0.587 * 214 + 0.114 * 233, 0)</f>
        <v>205</v>
      </c>
      <c r="K7" s="11">
        <f>ROUNDUP(0.299 * 248 + 0.587 * 255 + 0.114 * 255, 0)</f>
        <v>253</v>
      </c>
      <c r="L7" s="11">
        <f>ROUNDUP(0.299 * 255 + 0.587 * 255 + 0.114 * 255, 0)</f>
        <v>255</v>
      </c>
      <c r="M7" s="11">
        <f>ROUNDUP(0.299 * 255 + 0.587 * 255 + 0.114 * 255, 0)</f>
        <v>255</v>
      </c>
      <c r="N7" s="11">
        <f>ROUNDUP(0.299 * 48 + 0.587 * 43 + 0.114 * 41, 0)</f>
        <v>45</v>
      </c>
      <c r="O7" s="11">
        <f>ROUNDUP(0.299 * 104 + 0.587 * 244 + 0.114 * 254, 0)</f>
        <v>204</v>
      </c>
      <c r="P7" s="11">
        <f>ROUNDUP(0.299 * 105 + 0.587 * 190 + 0.114 * 255, 0)</f>
        <v>172</v>
      </c>
      <c r="Q7" s="12">
        <f>ROUNDUP(0.299 * 91 + 0.587 * 105 + 0.114 * 242, 0)</f>
        <v>117</v>
      </c>
      <c r="S7" s="20">
        <v>5</v>
      </c>
      <c r="T7" s="103">
        <f t="shared" si="1"/>
        <v>109</v>
      </c>
      <c r="U7" s="103">
        <f t="shared" si="2"/>
        <v>182</v>
      </c>
      <c r="V7" s="103">
        <f t="shared" si="3"/>
        <v>187</v>
      </c>
      <c r="W7" s="103">
        <f t="shared" si="4"/>
        <v>93</v>
      </c>
      <c r="X7" s="103">
        <f t="shared" si="5"/>
        <v>12</v>
      </c>
      <c r="Y7" s="103">
        <f t="shared" si="6"/>
        <v>152</v>
      </c>
      <c r="Z7" s="103">
        <f t="shared" si="7"/>
        <v>211</v>
      </c>
      <c r="AA7" s="103">
        <f t="shared" si="8"/>
        <v>4</v>
      </c>
      <c r="AB7" s="103">
        <f t="shared" si="9"/>
        <v>205</v>
      </c>
      <c r="AC7" s="103">
        <f t="shared" si="10"/>
        <v>253</v>
      </c>
      <c r="AD7" s="103">
        <f t="shared" si="11"/>
        <v>255</v>
      </c>
      <c r="AE7" s="103">
        <f t="shared" si="12"/>
        <v>255</v>
      </c>
      <c r="AF7" s="103">
        <f t="shared" si="13"/>
        <v>45</v>
      </c>
      <c r="AG7" s="103">
        <f t="shared" si="14"/>
        <v>204</v>
      </c>
      <c r="AH7" s="103">
        <f t="shared" si="15"/>
        <v>172</v>
      </c>
      <c r="AI7" s="103">
        <f t="shared" si="16"/>
        <v>117</v>
      </c>
    </row>
    <row r="8" spans="1:35" ht="40.049999999999997" customHeight="1" x14ac:dyDescent="0.3">
      <c r="A8" s="20">
        <v>6</v>
      </c>
      <c r="B8" s="7">
        <f>ROUNDUP(0.299 * 242 + 0.587 * 96 + 0.114 * 90, 0)</f>
        <v>139</v>
      </c>
      <c r="C8" s="8">
        <f>ROUNDUP(0.299 * 255 + 0.587 * 186 + 0.114 * 110, 0)</f>
        <v>198</v>
      </c>
      <c r="D8" s="8">
        <f>ROUNDUP(0.299 * 93 + 0.587 * 60 + 0.114 * 14, 0)</f>
        <v>65</v>
      </c>
      <c r="E8" s="8">
        <f>ROUNDUP(0.299 * 51 + 0.587 * 74 + 0.114 * 109, 0)</f>
        <v>72</v>
      </c>
      <c r="F8" s="8">
        <f>ROUNDUP(0.299 * 90 + 0.587 * 96 + 0.114 * 113, 0)</f>
        <v>97</v>
      </c>
      <c r="G8" s="21">
        <f>ROUNDUP(0.299 * 127 + 0.587 * 134  + 0.114 * 156, 0)</f>
        <v>135</v>
      </c>
      <c r="H8" s="8">
        <f>ROUNDUP(0.299 * 234 + 0.587 * 236 + 0.114 * 241, 0)</f>
        <v>236</v>
      </c>
      <c r="I8" s="9">
        <f>ROUNDUP(0.299 * 14 + 0.587 * 18  + 0.114 * 18, 0)</f>
        <v>17</v>
      </c>
      <c r="J8" s="10">
        <f>ROUNDUP(0.299 * 57 + 0.587 * 74  + 0.114 * 82, 0)</f>
        <v>70</v>
      </c>
      <c r="K8" s="11">
        <f>ROUNDUP(0.299 * 116 + 0.587 * 145  + 0.114 * 160, 0)</f>
        <v>139</v>
      </c>
      <c r="L8" s="11">
        <f>ROUNDUP(0.299 * 93 + 0.587 * 122  + 0.114 * 139, 0)</f>
        <v>116</v>
      </c>
      <c r="M8" s="11">
        <f>ROUNDUP(0.299 * 81 + 0.587 * 105  + 0.114 * 115, 0)</f>
        <v>99</v>
      </c>
      <c r="N8" s="11">
        <f>ROUNDUP(0.299 * 32 + 0.587 * 33  + 0.114 * 30, 0)</f>
        <v>33</v>
      </c>
      <c r="O8" s="11">
        <f>ROUNDUP(0.299 * 104 + 0.587 * 242  + 0.114 * 253, 0)</f>
        <v>202</v>
      </c>
      <c r="P8" s="11">
        <f>ROUNDUP(0.299 * 105 + 0.587 * 201  + 0.114 * 255, 0)</f>
        <v>179</v>
      </c>
      <c r="Q8" s="12">
        <f t="shared" ref="Q8:Q15" si="17">ROUNDUP(0.299 * 91 + 0.587 * 105  + 0.114 * 242, 0)</f>
        <v>117</v>
      </c>
      <c r="S8" s="20">
        <v>6</v>
      </c>
      <c r="T8" s="103">
        <f t="shared" si="1"/>
        <v>139</v>
      </c>
      <c r="U8" s="103">
        <f t="shared" si="2"/>
        <v>198</v>
      </c>
      <c r="V8" s="103">
        <f t="shared" si="3"/>
        <v>65</v>
      </c>
      <c r="W8" s="103">
        <f t="shared" si="4"/>
        <v>72</v>
      </c>
      <c r="X8" s="103">
        <f t="shared" si="5"/>
        <v>97</v>
      </c>
      <c r="Y8" s="103">
        <f t="shared" si="6"/>
        <v>135</v>
      </c>
      <c r="Z8" s="103">
        <f t="shared" si="7"/>
        <v>236</v>
      </c>
      <c r="AA8" s="103">
        <f t="shared" si="8"/>
        <v>17</v>
      </c>
      <c r="AB8" s="103">
        <f t="shared" si="9"/>
        <v>70</v>
      </c>
      <c r="AC8" s="103">
        <f t="shared" si="10"/>
        <v>139</v>
      </c>
      <c r="AD8" s="103">
        <f t="shared" si="11"/>
        <v>116</v>
      </c>
      <c r="AE8" s="103">
        <f t="shared" si="12"/>
        <v>99</v>
      </c>
      <c r="AF8" s="103">
        <f t="shared" si="13"/>
        <v>33</v>
      </c>
      <c r="AG8" s="103">
        <f t="shared" si="14"/>
        <v>202</v>
      </c>
      <c r="AH8" s="103">
        <f t="shared" si="15"/>
        <v>179</v>
      </c>
      <c r="AI8" s="103">
        <f t="shared" si="16"/>
        <v>117</v>
      </c>
    </row>
    <row r="9" spans="1:35" ht="40.049999999999997" customHeight="1" thickBot="1" x14ac:dyDescent="0.35">
      <c r="A9" s="20">
        <v>7</v>
      </c>
      <c r="B9" s="13">
        <f>ROUNDUP(0.299 * 242 + 0.587 * 96  + 0.114 * 91, 0)</f>
        <v>140</v>
      </c>
      <c r="C9" s="14">
        <f>ROUNDUP(0.299 * 255 + 0.587 * 178  + 0.114 * 105, 0)</f>
        <v>193</v>
      </c>
      <c r="D9" s="14">
        <f>ROUNDUP(0.299 * 79 + 0.587 * 51  + 0.114 * 11, 0)</f>
        <v>55</v>
      </c>
      <c r="E9" s="14">
        <f>ROUNDUP(0.299 * 117 + 0.587 * 144  + 0.114 * 191, 0)</f>
        <v>142</v>
      </c>
      <c r="F9" s="14">
        <f>ROUNDUP(0.299 * 95 + 0.587 * 102  + 0.114 * 125, 0)</f>
        <v>103</v>
      </c>
      <c r="G9" s="14">
        <f>ROUNDUP(0.299 * 98 + 0.587 * 104  + 0.114 * 126, 0)</f>
        <v>105</v>
      </c>
      <c r="H9" s="14">
        <f>ROUNDUP(0.299 * 255 + 0.587 * 255  + 0.114 * 255, 0)</f>
        <v>255</v>
      </c>
      <c r="I9" s="15">
        <f>ROUNDUP(0.299 * 156 + 0.587 * 156  + 0.114 * 159, 0)</f>
        <v>157</v>
      </c>
      <c r="J9" s="16">
        <f>ROUNDUP(0.299 * 29 + 0.587 * 29  + 0.114 * 28, 0)</f>
        <v>29</v>
      </c>
      <c r="K9" s="17">
        <f>ROUNDUP(0.299 * 39 + 0.587 * 45  + 0.114 * 48, 0)</f>
        <v>44</v>
      </c>
      <c r="L9" s="17">
        <f>ROUNDUP(0.299 * 63 + 0.587 * 67  + 0.114 * 71, 0)</f>
        <v>67</v>
      </c>
      <c r="M9" s="17">
        <f>ROUNDUP(0.299 * 53 + 0.587 * 39  + 0.114 * 36, 0)</f>
        <v>43</v>
      </c>
      <c r="N9" s="17">
        <f>ROUNDUP(0.299 * 20 + 0.587 * 64  + 0.114 * 67, 0)</f>
        <v>52</v>
      </c>
      <c r="O9" s="17">
        <f>ROUNDUP(0.299 * 105 + 0.587 * 244  + 0.114 * 255, 0)</f>
        <v>204</v>
      </c>
      <c r="P9" s="17">
        <f>ROUNDUP(0.299 * 94 + 0.587 * 163  + 0.114 * 255, 0)</f>
        <v>153</v>
      </c>
      <c r="Q9" s="18">
        <f t="shared" si="17"/>
        <v>117</v>
      </c>
      <c r="S9" s="20">
        <v>7</v>
      </c>
      <c r="T9" s="103">
        <f t="shared" si="1"/>
        <v>140</v>
      </c>
      <c r="U9" s="103">
        <f t="shared" si="2"/>
        <v>193</v>
      </c>
      <c r="V9" s="103">
        <f t="shared" si="3"/>
        <v>55</v>
      </c>
      <c r="W9" s="103">
        <f t="shared" si="4"/>
        <v>142</v>
      </c>
      <c r="X9" s="103">
        <f t="shared" si="5"/>
        <v>103</v>
      </c>
      <c r="Y9" s="103">
        <f t="shared" si="6"/>
        <v>105</v>
      </c>
      <c r="Z9" s="103">
        <f t="shared" si="7"/>
        <v>255</v>
      </c>
      <c r="AA9" s="103">
        <f t="shared" si="8"/>
        <v>157</v>
      </c>
      <c r="AB9" s="103">
        <f t="shared" si="9"/>
        <v>29</v>
      </c>
      <c r="AC9" s="103">
        <f t="shared" si="10"/>
        <v>44</v>
      </c>
      <c r="AD9" s="103">
        <f t="shared" si="11"/>
        <v>67</v>
      </c>
      <c r="AE9" s="103">
        <f t="shared" si="12"/>
        <v>43</v>
      </c>
      <c r="AF9" s="103">
        <f t="shared" si="13"/>
        <v>52</v>
      </c>
      <c r="AG9" s="103">
        <f t="shared" si="14"/>
        <v>204</v>
      </c>
      <c r="AH9" s="103">
        <f t="shared" si="15"/>
        <v>153</v>
      </c>
      <c r="AI9" s="103">
        <f t="shared" si="16"/>
        <v>117</v>
      </c>
    </row>
    <row r="10" spans="1:35" ht="40.049999999999997" customHeight="1" x14ac:dyDescent="0.3">
      <c r="A10" s="20">
        <v>0</v>
      </c>
      <c r="B10" s="4">
        <f>ROUNDUP(0.299 * 242 + 0.587 * 97  + 0.114 * 91, 0)</f>
        <v>140</v>
      </c>
      <c r="C10" s="5">
        <f>ROUNDUP(0.299 * 255 + 0.587 * 172  + 0.114 * 99, 0)</f>
        <v>189</v>
      </c>
      <c r="D10" s="5">
        <f>ROUNDUP(0.299 * 90 + 0.587 * 64  + 0.114 * 27, 0)</f>
        <v>68</v>
      </c>
      <c r="E10" s="5">
        <f>ROUNDUP(0.299 * 99 + 0.587 * 126  + 0.114 * 178, 0)</f>
        <v>124</v>
      </c>
      <c r="F10" s="5">
        <f>ROUNDUP(0.299 * 71 + 0.587 * 78  + 0.114 * 100, 0)</f>
        <v>79</v>
      </c>
      <c r="G10" s="5">
        <f>ROUNDUP(0.299 * 94 + 0.587 * 102  + 0.114 * 127, 0)</f>
        <v>103</v>
      </c>
      <c r="H10" s="5">
        <f>ROUNDUP(0.299 * 237 + 0.587 * 247  + 0.114 * 255, 0)</f>
        <v>245</v>
      </c>
      <c r="I10" s="6">
        <f>ROUNDUP(0.299 * 255 + 0.587 * 255  + 0.114 * 255, 0)</f>
        <v>255</v>
      </c>
      <c r="J10" s="1">
        <f>ROUNDUP(0.299 * 227 + 0.587 * 232  + 0.114 * 242, 0)</f>
        <v>232</v>
      </c>
      <c r="K10" s="2">
        <f>ROUNDUP(0.299 * 193 + 0.587 * 196  + 0.114 * 206, 0)</f>
        <v>197</v>
      </c>
      <c r="L10" s="2">
        <f>ROUNDUP(0.299 * 243 + 0.587 * 243  + 0.114 * 242, 0)</f>
        <v>243</v>
      </c>
      <c r="M10" s="2">
        <f>ROUNDUP(0.299 * 203 + 0.587 * 186  + 0.114 * 193, 0)</f>
        <v>192</v>
      </c>
      <c r="N10" s="2">
        <f>ROUNDUP(0.299 * 19 + 0.587 * 63  + 0.114 * 68, 0)</f>
        <v>51</v>
      </c>
      <c r="O10" s="2">
        <f>ROUNDUP(0.299 * 92 + 0.587 * 228  + 0.114 * 255, 0)</f>
        <v>191</v>
      </c>
      <c r="P10" s="2">
        <f>ROUNDUP(0.299 * 95 + 0.587 * 164  + 0.114 * 255, 0)</f>
        <v>154</v>
      </c>
      <c r="Q10" s="3">
        <f t="shared" si="17"/>
        <v>117</v>
      </c>
      <c r="S10" s="20">
        <v>8</v>
      </c>
      <c r="T10" s="103">
        <f t="shared" si="1"/>
        <v>140</v>
      </c>
      <c r="U10" s="103">
        <f t="shared" si="2"/>
        <v>189</v>
      </c>
      <c r="V10" s="103">
        <f t="shared" si="3"/>
        <v>68</v>
      </c>
      <c r="W10" s="103">
        <f t="shared" si="4"/>
        <v>124</v>
      </c>
      <c r="X10" s="103">
        <f t="shared" si="5"/>
        <v>79</v>
      </c>
      <c r="Y10" s="103">
        <f t="shared" si="6"/>
        <v>103</v>
      </c>
      <c r="Z10" s="103">
        <f t="shared" si="7"/>
        <v>245</v>
      </c>
      <c r="AA10" s="103">
        <f t="shared" si="8"/>
        <v>255</v>
      </c>
      <c r="AB10" s="103">
        <f t="shared" si="9"/>
        <v>232</v>
      </c>
      <c r="AC10" s="103">
        <f t="shared" si="10"/>
        <v>197</v>
      </c>
      <c r="AD10" s="103">
        <f t="shared" si="11"/>
        <v>243</v>
      </c>
      <c r="AE10" s="103">
        <f t="shared" si="12"/>
        <v>192</v>
      </c>
      <c r="AF10" s="103">
        <f t="shared" si="13"/>
        <v>51</v>
      </c>
      <c r="AG10" s="103">
        <f t="shared" si="14"/>
        <v>191</v>
      </c>
      <c r="AH10" s="103">
        <f t="shared" si="15"/>
        <v>154</v>
      </c>
      <c r="AI10" s="103">
        <f t="shared" si="16"/>
        <v>117</v>
      </c>
    </row>
    <row r="11" spans="1:35" ht="40.049999999999997" customHeight="1" x14ac:dyDescent="0.3">
      <c r="A11" s="20">
        <v>1</v>
      </c>
      <c r="B11" s="10">
        <f>ROUNDUP(0.299 * 242 + 0.587 * 97  + 0.114 * 91, 0)</f>
        <v>140</v>
      </c>
      <c r="C11" s="11">
        <f>ROUNDUP(0.299 * 255 + 0.587 * 168  + 0.114 * 96, 0)</f>
        <v>186</v>
      </c>
      <c r="D11" s="11">
        <f>ROUNDUP(0.299 * 84 + 0.587 * 62  + 0.114 * 29, 0)</f>
        <v>65</v>
      </c>
      <c r="E11" s="11">
        <f>ROUNDUP(0.299 * 113 + 0.587 * 140  + 0.114 * 190, 0)</f>
        <v>138</v>
      </c>
      <c r="F11" s="11">
        <f>ROUNDUP(0.299 * 78 + 0.587 * 83  + 0.114 * 103, 0)</f>
        <v>84</v>
      </c>
      <c r="G11" s="11">
        <f>ROUNDUP(0.299 * 78 + 0.587 * 83  + 0.114 * 103, 0)</f>
        <v>84</v>
      </c>
      <c r="H11" s="11">
        <f>ROUNDUP(0.299 * 207 + 0.587 * 218  + 0.114 * 249, 0)</f>
        <v>219</v>
      </c>
      <c r="I11" s="12">
        <f>ROUNDUP(0.299 * 246 + 0.587 * 252  + 0.114 * 255, 0)</f>
        <v>251</v>
      </c>
      <c r="J11" s="7">
        <f>ROUNDUP(0.299 * 246 + 0.587 * 253  + 0.114 * 255, 0)</f>
        <v>252</v>
      </c>
      <c r="K11" s="8">
        <f>ROUNDUP(0.299 * 254 + 0.587 * 255  + 0.114 * 255, 0)</f>
        <v>255</v>
      </c>
      <c r="L11" s="8">
        <f>ROUNDUP(0.299 * 255 + 0.587 * 255  + 0.114 * 255, 0)</f>
        <v>255</v>
      </c>
      <c r="M11" s="8">
        <f>ROUNDUP(0.299 * 165 + 0.587 * 158  + 0.114 * 181, 0)</f>
        <v>163</v>
      </c>
      <c r="N11" s="8">
        <f>ROUNDUP(0.299 * 6 + 0.587 * 35  + 0.114 * 42, 0)</f>
        <v>28</v>
      </c>
      <c r="O11" s="8">
        <f>ROUNDUP(0.299 * 88 + 0.587 * 216  + 0.114 * 255, 0)</f>
        <v>183</v>
      </c>
      <c r="P11" s="8">
        <f>ROUNDUP(0.299 * 96 + 0.587 * 168  + 0.114 * 255, 0)</f>
        <v>157</v>
      </c>
      <c r="Q11" s="9">
        <f t="shared" si="17"/>
        <v>117</v>
      </c>
      <c r="S11" s="20">
        <v>9</v>
      </c>
      <c r="T11" s="103">
        <f t="shared" si="1"/>
        <v>140</v>
      </c>
      <c r="U11" s="103">
        <f t="shared" si="2"/>
        <v>186</v>
      </c>
      <c r="V11" s="103">
        <f t="shared" si="3"/>
        <v>65</v>
      </c>
      <c r="W11" s="103">
        <f t="shared" si="4"/>
        <v>138</v>
      </c>
      <c r="X11" s="103">
        <f t="shared" si="5"/>
        <v>84</v>
      </c>
      <c r="Y11" s="103">
        <f t="shared" si="6"/>
        <v>84</v>
      </c>
      <c r="Z11" s="103">
        <f t="shared" si="7"/>
        <v>219</v>
      </c>
      <c r="AA11" s="103">
        <f t="shared" si="8"/>
        <v>251</v>
      </c>
      <c r="AB11" s="103">
        <f t="shared" si="9"/>
        <v>252</v>
      </c>
      <c r="AC11" s="103">
        <f t="shared" si="10"/>
        <v>255</v>
      </c>
      <c r="AD11" s="103">
        <f t="shared" si="11"/>
        <v>255</v>
      </c>
      <c r="AE11" s="103">
        <f t="shared" si="12"/>
        <v>163</v>
      </c>
      <c r="AF11" s="103">
        <f t="shared" si="13"/>
        <v>28</v>
      </c>
      <c r="AG11" s="103">
        <f t="shared" si="14"/>
        <v>183</v>
      </c>
      <c r="AH11" s="103">
        <f t="shared" si="15"/>
        <v>157</v>
      </c>
      <c r="AI11" s="103">
        <f t="shared" si="16"/>
        <v>117</v>
      </c>
    </row>
    <row r="12" spans="1:35" ht="40.049999999999997" customHeight="1" x14ac:dyDescent="0.3">
      <c r="A12" s="20">
        <v>2</v>
      </c>
      <c r="B12" s="10">
        <f>ROUNDUP(0.299 * 242 + 0.587 * 97  + 0.114 * 91, 0)</f>
        <v>140</v>
      </c>
      <c r="C12" s="11">
        <f>ROUNDUP(0.299 * 255 + 0.587 * 179  + 0.114 * 104, 0)</f>
        <v>194</v>
      </c>
      <c r="D12" s="11">
        <f>ROUNDUP(0.299 * 67 + 0.587 * 42  + 0.114 * 7, 0)</f>
        <v>46</v>
      </c>
      <c r="E12" s="11">
        <f>ROUNDUP(0.299 * 99 + 0.587 * 132  + 0.114 * 192, 0)</f>
        <v>129</v>
      </c>
      <c r="F12" s="11">
        <f>ROUNDUP(0.299 * 103 + 0.587 * 111  + 0.114 * 139, 0)</f>
        <v>112</v>
      </c>
      <c r="G12" s="11">
        <f>ROUNDUP(0.299 * 85 + 0.587 * 92  + 0.114 * 115, 0)</f>
        <v>93</v>
      </c>
      <c r="H12" s="11">
        <f>ROUNDUP(0.299 * 164 + 0.587 * 177  + 0.114 * 223, 0)</f>
        <v>179</v>
      </c>
      <c r="I12" s="12">
        <f>ROUNDUP(0.299 * 189 + 0.587 * 200  + 0.114 * 230, 0)</f>
        <v>201</v>
      </c>
      <c r="J12" s="7">
        <f>ROUNDUP(0.299 * 224 + 0.587 * 235  + 0.114 * 255, 0)</f>
        <v>234</v>
      </c>
      <c r="K12" s="8">
        <f>ROUNDUP(0.299 * 227 + 0.587 * 238  + 0.114 * 255, 0)</f>
        <v>237</v>
      </c>
      <c r="L12" s="8">
        <f>ROUNDUP(0.299 * 212 + 0.587 * 225  + 0.114 * 254, 0)</f>
        <v>225</v>
      </c>
      <c r="M12" s="8">
        <f>ROUNDUP(0.299 * 110 + 0.587 * 98  + 0.114 * 126, 0)</f>
        <v>105</v>
      </c>
      <c r="N12" s="8">
        <f>ROUNDUP(0.299 * 21 + 0.587 * 68  + 0.114 * 71, 0)</f>
        <v>55</v>
      </c>
      <c r="O12" s="8">
        <f>ROUNDUP(0.299 * 100 + 0.587 * 240  + 0.114 * 255, 0)</f>
        <v>200</v>
      </c>
      <c r="P12" s="8">
        <f>ROUNDUP(0.299 * 94 + 0.587 * 162  + 0.114 * 255, 0)</f>
        <v>153</v>
      </c>
      <c r="Q12" s="9">
        <f t="shared" si="17"/>
        <v>117</v>
      </c>
      <c r="S12" s="20">
        <v>10</v>
      </c>
      <c r="T12" s="103">
        <f t="shared" si="1"/>
        <v>140</v>
      </c>
      <c r="U12" s="103">
        <f t="shared" si="2"/>
        <v>194</v>
      </c>
      <c r="V12" s="103">
        <f t="shared" si="3"/>
        <v>46</v>
      </c>
      <c r="W12" s="103">
        <f t="shared" si="4"/>
        <v>129</v>
      </c>
      <c r="X12" s="103">
        <f t="shared" si="5"/>
        <v>112</v>
      </c>
      <c r="Y12" s="103">
        <f t="shared" si="6"/>
        <v>93</v>
      </c>
      <c r="Z12" s="103">
        <f t="shared" si="7"/>
        <v>179</v>
      </c>
      <c r="AA12" s="103">
        <f t="shared" si="8"/>
        <v>201</v>
      </c>
      <c r="AB12" s="103">
        <f t="shared" si="9"/>
        <v>234</v>
      </c>
      <c r="AC12" s="103">
        <f t="shared" si="10"/>
        <v>237</v>
      </c>
      <c r="AD12" s="103">
        <f t="shared" si="11"/>
        <v>225</v>
      </c>
      <c r="AE12" s="103">
        <f t="shared" si="12"/>
        <v>105</v>
      </c>
      <c r="AF12" s="103">
        <f t="shared" si="13"/>
        <v>55</v>
      </c>
      <c r="AG12" s="103">
        <f t="shared" si="14"/>
        <v>200</v>
      </c>
      <c r="AH12" s="103">
        <f t="shared" si="15"/>
        <v>153</v>
      </c>
      <c r="AI12" s="103">
        <f t="shared" si="16"/>
        <v>117</v>
      </c>
    </row>
    <row r="13" spans="1:35" ht="40.049999999999997" customHeight="1" x14ac:dyDescent="0.3">
      <c r="A13" s="20">
        <v>3</v>
      </c>
      <c r="B13" s="10">
        <f>ROUNDUP(0.299 * 242 + 0.587 * 95  + 0.114 * 90, 0)</f>
        <v>139</v>
      </c>
      <c r="C13" s="11">
        <f>ROUNDUP(0.299 * 255 + 0.587 * 179  + 0.114 * 107, 0)</f>
        <v>194</v>
      </c>
      <c r="D13" s="11">
        <f>ROUNDUP(0.299 * 162 + 0.587 * 117  + 0.114 * 49, 0)</f>
        <v>123</v>
      </c>
      <c r="E13" s="11">
        <f>ROUNDUP(0.299 * 17 + 0.587 * 26  + 0.114 * 53, 0)</f>
        <v>27</v>
      </c>
      <c r="F13" s="11">
        <f>ROUNDUP(0.299 * 32 + 0.587 * 39  + 0.114 * 60, 0)</f>
        <v>40</v>
      </c>
      <c r="G13" s="11">
        <f>ROUNDUP(0.299 * 107 + 0.587 * 114  + 0.114 * 137, 0)</f>
        <v>115</v>
      </c>
      <c r="H13" s="11">
        <f>ROUNDUP(0.299 * 184 + 0.587 * 200  + 0.114 * 241, 0)</f>
        <v>200</v>
      </c>
      <c r="I13" s="12">
        <f>ROUNDUP(0.299 * 119 + 0.587 * 131  + 0.114 * 168, 0)</f>
        <v>132</v>
      </c>
      <c r="J13" s="7">
        <f>ROUNDUP(0.299 * 81 + 0.587 * 82  + 0.114 * 118, 0)</f>
        <v>86</v>
      </c>
      <c r="K13" s="8">
        <f>ROUNDUP(0.299 * 84 + 0.587 * 91  + 0.114 * 124, 0)</f>
        <v>93</v>
      </c>
      <c r="L13" s="8">
        <f>ROUNDUP(0.299 * 139 + 0.587 * 154  + 0.114 * 198, 0)</f>
        <v>155</v>
      </c>
      <c r="M13" s="8">
        <f>ROUNDUP(0.299 * 87 + 0.587 * 70  + 0.114 * 93, 0)</f>
        <v>78</v>
      </c>
      <c r="N13" s="8">
        <f>ROUNDUP(0.299 * 23 + 0.587 * 95  + 0.114 * 95, 0)</f>
        <v>74</v>
      </c>
      <c r="O13" s="8">
        <f>ROUNDUP(0.299 * 111 + 0.587 * 255  + 0.114 * 255, 0)</f>
        <v>212</v>
      </c>
      <c r="P13" s="8">
        <f>ROUNDUP(0.299 * 93 + 0.587 * 159  + 0.114 * 255, 0)</f>
        <v>151</v>
      </c>
      <c r="Q13" s="9">
        <f t="shared" si="17"/>
        <v>117</v>
      </c>
      <c r="S13" s="20">
        <v>11</v>
      </c>
      <c r="T13" s="103">
        <f t="shared" si="1"/>
        <v>139</v>
      </c>
      <c r="U13" s="103">
        <f t="shared" si="2"/>
        <v>194</v>
      </c>
      <c r="V13" s="103">
        <f t="shared" si="3"/>
        <v>123</v>
      </c>
      <c r="W13" s="103">
        <f t="shared" si="4"/>
        <v>27</v>
      </c>
      <c r="X13" s="103">
        <f t="shared" si="5"/>
        <v>40</v>
      </c>
      <c r="Y13" s="103">
        <f t="shared" si="6"/>
        <v>115</v>
      </c>
      <c r="Z13" s="103">
        <f t="shared" si="7"/>
        <v>200</v>
      </c>
      <c r="AA13" s="103">
        <f t="shared" si="8"/>
        <v>132</v>
      </c>
      <c r="AB13" s="103">
        <f t="shared" si="9"/>
        <v>86</v>
      </c>
      <c r="AC13" s="103">
        <f t="shared" si="10"/>
        <v>93</v>
      </c>
      <c r="AD13" s="103">
        <f t="shared" si="11"/>
        <v>155</v>
      </c>
      <c r="AE13" s="103">
        <f t="shared" si="12"/>
        <v>78</v>
      </c>
      <c r="AF13" s="103">
        <f t="shared" si="13"/>
        <v>74</v>
      </c>
      <c r="AG13" s="103">
        <f t="shared" si="14"/>
        <v>212</v>
      </c>
      <c r="AH13" s="103">
        <f t="shared" si="15"/>
        <v>151</v>
      </c>
      <c r="AI13" s="103">
        <f t="shared" si="16"/>
        <v>117</v>
      </c>
    </row>
    <row r="14" spans="1:35" ht="40.049999999999997" customHeight="1" x14ac:dyDescent="0.3">
      <c r="A14" s="20">
        <v>4</v>
      </c>
      <c r="B14" s="10">
        <f>ROUNDUP(0.299 * 242 + 0.587 * 95  + 0.114 * 90, 0)</f>
        <v>139</v>
      </c>
      <c r="C14" s="11">
        <f>ROUNDUP(0.299 * 255 + 0.587 * 151  + 0.114 * 93, 0)</f>
        <v>176</v>
      </c>
      <c r="D14" s="11">
        <f>ROUNDUP(0.299 * 255 + 0.587 * 200  + 0.114 * 108, 0)</f>
        <v>206</v>
      </c>
      <c r="E14" s="11">
        <f>ROUNDUP(0.299 * 199 + 0.587 * 165  + 0.114 * 60, 0)</f>
        <v>164</v>
      </c>
      <c r="F14" s="11">
        <f>ROUNDUP(0.299 * 68 + 0.587 * 46  + 0.114 * 0, 0)</f>
        <v>48</v>
      </c>
      <c r="G14" s="11">
        <f>ROUNDUP(0.299 * 81 + 0.587 * 99  + 0.114 * 143, 0)</f>
        <v>99</v>
      </c>
      <c r="H14" s="11">
        <f>ROUNDUP(0.299 * 227 + 0.587 * 245  + 0.114 * 255, 0)</f>
        <v>241</v>
      </c>
      <c r="I14" s="12">
        <f>ROUNDUP(0.299 * 88 + 0.587 * 90  + 0.114 * 121, 0)</f>
        <v>93</v>
      </c>
      <c r="J14" s="7">
        <f>ROUNDUP(0.299 * 0 + 0.587 * 0  + 0.114 * 0, 0)</f>
        <v>0</v>
      </c>
      <c r="K14" s="8">
        <f>ROUNDUP(0.299 * 35 + 0.587 * 51  + 0.114 * 39, 0)</f>
        <v>45</v>
      </c>
      <c r="L14" s="8">
        <f>ROUNDUP(0.299 * 211 + 0.587 * 221  + 0.114 * 255, 0)</f>
        <v>222</v>
      </c>
      <c r="M14" s="8">
        <f>ROUNDUP(0.299 * 70 + 0.587 * 58  + 0.114 * 77, 0)</f>
        <v>64</v>
      </c>
      <c r="N14" s="8">
        <f>ROUNDUP(0.299 * 24 + 0.587 * 131  + 0.114 * 132, 0)</f>
        <v>100</v>
      </c>
      <c r="O14" s="8">
        <f>ROUNDUP(0.299 * 113 + 0.587 * 255  + 0.114 * 255, 0)</f>
        <v>213</v>
      </c>
      <c r="P14" s="8">
        <f>ROUNDUP(0.299 * 93 + 0.587 * 158  + 0.114 * 255, 0)</f>
        <v>150</v>
      </c>
      <c r="Q14" s="9">
        <f t="shared" si="17"/>
        <v>117</v>
      </c>
      <c r="S14" s="20">
        <v>12</v>
      </c>
      <c r="T14" s="103">
        <f t="shared" si="1"/>
        <v>139</v>
      </c>
      <c r="U14" s="103">
        <f t="shared" si="2"/>
        <v>176</v>
      </c>
      <c r="V14" s="103">
        <f t="shared" si="3"/>
        <v>206</v>
      </c>
      <c r="W14" s="103">
        <f t="shared" si="4"/>
        <v>164</v>
      </c>
      <c r="X14" s="103">
        <f t="shared" si="5"/>
        <v>48</v>
      </c>
      <c r="Y14" s="103">
        <f t="shared" si="6"/>
        <v>99</v>
      </c>
      <c r="Z14" s="103">
        <f t="shared" si="7"/>
        <v>241</v>
      </c>
      <c r="AA14" s="103">
        <f t="shared" si="8"/>
        <v>93</v>
      </c>
      <c r="AB14" s="103">
        <f t="shared" si="9"/>
        <v>0</v>
      </c>
      <c r="AC14" s="103">
        <f t="shared" si="10"/>
        <v>45</v>
      </c>
      <c r="AD14" s="103">
        <f t="shared" si="11"/>
        <v>222</v>
      </c>
      <c r="AE14" s="103">
        <f t="shared" si="12"/>
        <v>64</v>
      </c>
      <c r="AF14" s="103">
        <f t="shared" si="13"/>
        <v>100</v>
      </c>
      <c r="AG14" s="103">
        <f t="shared" si="14"/>
        <v>213</v>
      </c>
      <c r="AH14" s="103">
        <f t="shared" si="15"/>
        <v>150</v>
      </c>
      <c r="AI14" s="103">
        <f t="shared" si="16"/>
        <v>117</v>
      </c>
    </row>
    <row r="15" spans="1:35" ht="40.049999999999997" customHeight="1" x14ac:dyDescent="0.3">
      <c r="A15" s="20">
        <v>5</v>
      </c>
      <c r="B15" s="10">
        <f>ROUNDUP(0.299 * 242 + 0.587 * 95  + 0.114 * 90, 0)</f>
        <v>139</v>
      </c>
      <c r="C15" s="11">
        <f>ROUNDUP(0.299 * 255 + 0.587 * 149  + 0.114 * 92, 0)</f>
        <v>175</v>
      </c>
      <c r="D15" s="11">
        <f>ROUNDUP(0.299 * 255 + 0.587 * 184  + 0.114 * 95, 0)</f>
        <v>196</v>
      </c>
      <c r="E15" s="11">
        <f>ROUNDUP(0.299 * 255 + 0.587 * 227  + 0.114 * 117, 0)</f>
        <v>223</v>
      </c>
      <c r="F15" s="11">
        <f>ROUNDUP(0.299 * 109 + 0.587 * 88  + 0.114 * 25, 0)</f>
        <v>88</v>
      </c>
      <c r="G15" s="11">
        <f>ROUNDUP(0.299 * 12 + 0.587 * 28  + 0.114 * 76, 0)</f>
        <v>29</v>
      </c>
      <c r="H15" s="11">
        <f>ROUNDUP(0.299 * 186 + 0.587 * 202  + 0.114 * 237, 0)</f>
        <v>202</v>
      </c>
      <c r="I15" s="12">
        <f>ROUNDUP(0.299 * 46 + 0.587 * 44  + 0.114 * 72, 0)</f>
        <v>48</v>
      </c>
      <c r="J15" s="7">
        <f>ROUNDUP(0.299 * 21 + 0.587 * 47  + 0.114 * 17, 0)</f>
        <v>36</v>
      </c>
      <c r="K15" s="8">
        <f>ROUNDUP(0.299 * 68 + 0.587 * 81  + 0.114 * 75, 0)</f>
        <v>77</v>
      </c>
      <c r="L15" s="8">
        <f>ROUNDUP(0.299 * 114 + 0.587 * 108  + 0.114 * 143, 0)</f>
        <v>114</v>
      </c>
      <c r="M15" s="8">
        <f>ROUNDUP(0.299 * 37 + 0.587 * 27  + 0.114 * 35, 0)</f>
        <v>31</v>
      </c>
      <c r="N15" s="8">
        <f>ROUNDUP(0.299 * 66 + 0.587 * 161  + 0.114 * 164, 0)</f>
        <v>133</v>
      </c>
      <c r="O15" s="8">
        <f>ROUNDUP(0.299 * 102 + 0.587 * 235  + 0.114 * 250, 0)</f>
        <v>197</v>
      </c>
      <c r="P15" s="8">
        <f>ROUNDUP(0.299 * 93 + 0.587 * 162  + 0.114 * 255, 0)</f>
        <v>152</v>
      </c>
      <c r="Q15" s="9">
        <f t="shared" si="17"/>
        <v>117</v>
      </c>
      <c r="S15" s="20">
        <v>13</v>
      </c>
      <c r="T15" s="103">
        <f t="shared" si="1"/>
        <v>139</v>
      </c>
      <c r="U15" s="103">
        <f t="shared" si="2"/>
        <v>175</v>
      </c>
      <c r="V15" s="103">
        <f t="shared" si="3"/>
        <v>196</v>
      </c>
      <c r="W15" s="103">
        <f t="shared" si="4"/>
        <v>223</v>
      </c>
      <c r="X15" s="103">
        <f t="shared" si="5"/>
        <v>88</v>
      </c>
      <c r="Y15" s="103">
        <f t="shared" si="6"/>
        <v>29</v>
      </c>
      <c r="Z15" s="103">
        <f t="shared" si="7"/>
        <v>202</v>
      </c>
      <c r="AA15" s="103">
        <f t="shared" si="8"/>
        <v>48</v>
      </c>
      <c r="AB15" s="103">
        <f t="shared" si="9"/>
        <v>36</v>
      </c>
      <c r="AC15" s="103">
        <f t="shared" si="10"/>
        <v>77</v>
      </c>
      <c r="AD15" s="103">
        <f t="shared" si="11"/>
        <v>114</v>
      </c>
      <c r="AE15" s="103">
        <f t="shared" si="12"/>
        <v>31</v>
      </c>
      <c r="AF15" s="103">
        <f t="shared" si="13"/>
        <v>133</v>
      </c>
      <c r="AG15" s="103">
        <f t="shared" si="14"/>
        <v>197</v>
      </c>
      <c r="AH15" s="103">
        <f t="shared" si="15"/>
        <v>152</v>
      </c>
      <c r="AI15" s="103">
        <f t="shared" si="16"/>
        <v>117</v>
      </c>
    </row>
    <row r="16" spans="1:35" ht="40.049999999999997" customHeight="1" x14ac:dyDescent="0.3">
      <c r="A16" s="20">
        <v>6</v>
      </c>
      <c r="B16" s="10">
        <f>ROUNDUP(0.299 * 255 + 0.587 * 99  + 0.114 * 94, 0)</f>
        <v>146</v>
      </c>
      <c r="C16" s="11">
        <f>ROUNDUP(0.299 * 255 + 0.587 * 150  + 0.114 * 92, 0)</f>
        <v>175</v>
      </c>
      <c r="D16" s="11">
        <f>ROUNDUP(0.299 * 255 + 0.587 * 195  + 0.114 * 97, 0)</f>
        <v>202</v>
      </c>
      <c r="E16" s="11">
        <f>ROUNDUP(0.299 * 252 + 0.587 * 190  + 0.114 * 98, 0)</f>
        <v>199</v>
      </c>
      <c r="F16" s="11">
        <f>ROUNDUP(0.299 * 81 + 0.587 * 87  + 0.114 * 76, 0)</f>
        <v>84</v>
      </c>
      <c r="G16" s="11">
        <f>ROUNDUP(0.299 * 33 + 0.587 * 37  + 0.114 * 36, 0)</f>
        <v>36</v>
      </c>
      <c r="H16" s="11">
        <f>ROUNDUP(0.299 * 25 + 0.587 * 28  + 0.114 * 43, 0)</f>
        <v>29</v>
      </c>
      <c r="I16" s="12">
        <f>ROUNDUP(0.299 * 20 + 0.587 * 19  + 0.114 * 32, 0)</f>
        <v>21</v>
      </c>
      <c r="J16" s="7">
        <f>ROUNDUP(0.299 * 76 + 0.587 * 63  + 0.114 * 85, 0)</f>
        <v>70</v>
      </c>
      <c r="K16" s="8">
        <f>ROUNDUP(0.299 * 61 + 0.587 * 48  + 0.114 * 64, 0)</f>
        <v>54</v>
      </c>
      <c r="L16" s="8">
        <f>ROUNDUP(0.299 * 58 + 0.587 * 54  + 0.114 * 49, 0)</f>
        <v>55</v>
      </c>
      <c r="M16" s="8">
        <f>ROUNDUP(0.299 * 58 + 0.587 * 54  + 0.114 * 49, 0)</f>
        <v>55</v>
      </c>
      <c r="N16" s="8">
        <f>ROUNDUP(0.299 * 88 + 0.587 * 121  + 0.114 * 120, 0)</f>
        <v>112</v>
      </c>
      <c r="O16" s="8">
        <f>ROUNDUP(0.299 * 90 + 0.587 * 204  + 0.114 * 238, 0)</f>
        <v>174</v>
      </c>
      <c r="P16" s="8">
        <f>ROUNDUP(0.299 * 93 + 0.587 * 170  + 0.114 * 255, 0)</f>
        <v>157</v>
      </c>
      <c r="Q16" s="9">
        <f>ROUNDUP(0.299 * 95 + 0.587 * 110  + 0.114 * 255, 0)</f>
        <v>123</v>
      </c>
      <c r="S16" s="20">
        <v>14</v>
      </c>
      <c r="T16" s="103">
        <f t="shared" si="1"/>
        <v>146</v>
      </c>
      <c r="U16" s="103">
        <f t="shared" si="2"/>
        <v>175</v>
      </c>
      <c r="V16" s="103">
        <f t="shared" si="3"/>
        <v>202</v>
      </c>
      <c r="W16" s="103">
        <f t="shared" si="4"/>
        <v>199</v>
      </c>
      <c r="X16" s="103">
        <f t="shared" si="5"/>
        <v>84</v>
      </c>
      <c r="Y16" s="103">
        <f t="shared" si="6"/>
        <v>36</v>
      </c>
      <c r="Z16" s="103">
        <f t="shared" si="7"/>
        <v>29</v>
      </c>
      <c r="AA16" s="103">
        <f t="shared" si="8"/>
        <v>21</v>
      </c>
      <c r="AB16" s="103">
        <f t="shared" si="9"/>
        <v>70</v>
      </c>
      <c r="AC16" s="103">
        <f t="shared" si="10"/>
        <v>54</v>
      </c>
      <c r="AD16" s="103">
        <f t="shared" si="11"/>
        <v>55</v>
      </c>
      <c r="AE16" s="103">
        <f t="shared" si="12"/>
        <v>55</v>
      </c>
      <c r="AF16" s="103">
        <f t="shared" si="13"/>
        <v>112</v>
      </c>
      <c r="AG16" s="103">
        <f t="shared" si="14"/>
        <v>174</v>
      </c>
      <c r="AH16" s="103">
        <f t="shared" si="15"/>
        <v>157</v>
      </c>
      <c r="AI16" s="103">
        <f t="shared" si="16"/>
        <v>123</v>
      </c>
    </row>
    <row r="17" spans="1:35" ht="40.049999999999997" customHeight="1" thickBot="1" x14ac:dyDescent="0.35">
      <c r="A17" s="20">
        <v>7</v>
      </c>
      <c r="B17" s="16">
        <f>ROUNDUP(0.299 * 229 + 0.587 * 92  + 0.114 * 87, 0)</f>
        <v>133</v>
      </c>
      <c r="C17" s="17">
        <f>ROUNDUP(0.299 * 242 + 0.587 * 145  + 0.114 * 90, 0)</f>
        <v>168</v>
      </c>
      <c r="D17" s="17">
        <f>ROUNDUP(0.299 * 242 + 0.587 * 172  + 0.114 * 91, 0)</f>
        <v>184</v>
      </c>
      <c r="E17" s="17">
        <f>ROUNDUP(0.299 * 242 + 0.587 * 175  + 0.114 * 89, 0)</f>
        <v>186</v>
      </c>
      <c r="F17" s="17">
        <f>ROUNDUP(0.299 * 242 + 0.587 * 213  + 0.114 * 97, 0)</f>
        <v>209</v>
      </c>
      <c r="G17" s="17">
        <f>ROUNDUP(0.299 * 232 + 0.587 * 228  + 0.114 * 96, 0)</f>
        <v>215</v>
      </c>
      <c r="H17" s="17">
        <f>ROUNDUP(0.299 * 193 + 0.587 * 196  + 0.114 * 75, 0)</f>
        <v>182</v>
      </c>
      <c r="I17" s="18">
        <f>ROUNDUP(0.299 * 174 + 0.587 * 209  + 0.114 * 95, 0)</f>
        <v>186</v>
      </c>
      <c r="J17" s="13">
        <f>ROUNDUP(0.299 * 125 + 0.587 * 205  + 0.114 * 85, 0)</f>
        <v>168</v>
      </c>
      <c r="K17" s="14">
        <f>ROUNDUP(0.299 * 92 + 0.587 * 205  + 0.114 * 94, 0)</f>
        <v>159</v>
      </c>
      <c r="L17" s="14">
        <f>ROUNDUP(0.299 * 92 + 0.587 * 216  + 0.114 * 139, 0)</f>
        <v>171</v>
      </c>
      <c r="M17" s="14">
        <f>ROUNDUP(0.299 * 93 + 0.587 * 224  + 0.114 * 199, 0)</f>
        <v>182</v>
      </c>
      <c r="N17" s="14">
        <f>ROUNDUP(0.299 * 89 + 0.587 * 227  + 0.114 * 235, 0)</f>
        <v>187</v>
      </c>
      <c r="O17" s="14">
        <f>ROUNDUP(0.299 * 91 + 0.587 * 206  + 0.114 * 242, 0)</f>
        <v>176</v>
      </c>
      <c r="P17" s="14">
        <f>ROUNDUP(0.299 * 90 + 0.587 * 153  + 0.114 * 242, 0)</f>
        <v>145</v>
      </c>
      <c r="Q17" s="15">
        <f>ROUNDUP(0.299 * 88 + 0.587 * 101  + 0.114 * 229, 0)</f>
        <v>112</v>
      </c>
      <c r="S17" s="20">
        <v>15</v>
      </c>
      <c r="T17" s="103">
        <f t="shared" si="1"/>
        <v>133</v>
      </c>
      <c r="U17" s="103">
        <f t="shared" si="2"/>
        <v>168</v>
      </c>
      <c r="V17" s="103">
        <f t="shared" si="3"/>
        <v>184</v>
      </c>
      <c r="W17" s="103">
        <f t="shared" si="4"/>
        <v>186</v>
      </c>
      <c r="X17" s="103">
        <f t="shared" si="5"/>
        <v>209</v>
      </c>
      <c r="Y17" s="103">
        <f t="shared" si="6"/>
        <v>215</v>
      </c>
      <c r="Z17" s="103">
        <f t="shared" si="7"/>
        <v>182</v>
      </c>
      <c r="AA17" s="103">
        <f t="shared" si="8"/>
        <v>186</v>
      </c>
      <c r="AB17" s="103">
        <f t="shared" si="9"/>
        <v>168</v>
      </c>
      <c r="AC17" s="103">
        <f t="shared" si="10"/>
        <v>159</v>
      </c>
      <c r="AD17" s="103">
        <f t="shared" si="11"/>
        <v>171</v>
      </c>
      <c r="AE17" s="103">
        <f t="shared" si="12"/>
        <v>182</v>
      </c>
      <c r="AF17" s="103">
        <f t="shared" si="13"/>
        <v>187</v>
      </c>
      <c r="AG17" s="103">
        <f t="shared" si="14"/>
        <v>176</v>
      </c>
      <c r="AH17" s="103">
        <f t="shared" si="15"/>
        <v>145</v>
      </c>
      <c r="AI17" s="103">
        <f t="shared" si="16"/>
        <v>112</v>
      </c>
    </row>
    <row r="18" spans="1:35" ht="15.15" customHeight="1" thickBot="1" x14ac:dyDescent="0.35">
      <c r="S18" s="98" t="s">
        <v>6</v>
      </c>
      <c r="T18" s="101"/>
      <c r="U18" s="101"/>
      <c r="V18" s="101"/>
      <c r="W18" s="101"/>
      <c r="X18" s="101"/>
      <c r="Y18" s="101"/>
      <c r="Z18" s="101"/>
      <c r="AA18" s="101"/>
      <c r="AB18" s="101"/>
      <c r="AC18" s="101"/>
      <c r="AD18" s="101"/>
      <c r="AE18" s="101"/>
      <c r="AF18" s="101"/>
      <c r="AG18" s="101"/>
      <c r="AH18" s="101"/>
      <c r="AI18" s="102"/>
    </row>
    <row r="19" spans="1:35" ht="15.15" customHeight="1" x14ac:dyDescent="0.3"/>
    <row r="20" spans="1:35" ht="15.15" customHeight="1" x14ac:dyDescent="0.3"/>
    <row r="21" spans="1:35" ht="15.15" customHeight="1" x14ac:dyDescent="0.3"/>
    <row r="22" spans="1:35" ht="15.15" customHeight="1" x14ac:dyDescent="0.3"/>
    <row r="23" spans="1:35" ht="15.15" customHeight="1" x14ac:dyDescent="0.3"/>
    <row r="24" spans="1:35" ht="15.15" customHeight="1" x14ac:dyDescent="0.3"/>
    <row r="25" spans="1:35" ht="15.15" customHeight="1" x14ac:dyDescent="0.3"/>
    <row r="26" spans="1:35" ht="15.15" customHeight="1" x14ac:dyDescent="0.3"/>
    <row r="27" spans="1:35" ht="15.15" customHeight="1" x14ac:dyDescent="0.3"/>
    <row r="28" spans="1:35" ht="15.15" customHeight="1" x14ac:dyDescent="0.3"/>
    <row r="29" spans="1:35" ht="15.15" customHeight="1" x14ac:dyDescent="0.3"/>
    <row r="30" spans="1:35" ht="15.15" customHeight="1" x14ac:dyDescent="0.3"/>
    <row r="31" spans="1:35" ht="15.15" customHeight="1" x14ac:dyDescent="0.3"/>
    <row r="32" spans="1:35" ht="15.15" customHeight="1" x14ac:dyDescent="0.3"/>
    <row r="33" ht="15.15" customHeight="1" x14ac:dyDescent="0.3"/>
    <row r="34" ht="15.15" customHeight="1" x14ac:dyDescent="0.3"/>
    <row r="35" ht="15.15" customHeight="1" x14ac:dyDescent="0.3"/>
    <row r="36" ht="15.15" customHeight="1" x14ac:dyDescent="0.3"/>
    <row r="37" ht="15.15" customHeight="1" x14ac:dyDescent="0.3"/>
    <row r="38" ht="15.15" customHeight="1" x14ac:dyDescent="0.3"/>
    <row r="39" ht="15.15" customHeight="1" x14ac:dyDescent="0.3"/>
    <row r="40" ht="15.15" customHeight="1" x14ac:dyDescent="0.3"/>
    <row r="41" ht="15.15" customHeight="1" x14ac:dyDescent="0.3"/>
    <row r="42" ht="15.15" customHeight="1" x14ac:dyDescent="0.3"/>
    <row r="43" ht="15.15" customHeight="1" x14ac:dyDescent="0.3"/>
    <row r="44" ht="15.15" customHeight="1" x14ac:dyDescent="0.3"/>
    <row r="45" ht="15.15" customHeight="1" x14ac:dyDescent="0.3"/>
    <row r="46" ht="15.15" customHeight="1" x14ac:dyDescent="0.3"/>
    <row r="47" ht="15.15" customHeight="1" x14ac:dyDescent="0.3"/>
    <row r="48" ht="15.15" customHeight="1" x14ac:dyDescent="0.3"/>
    <row r="49" ht="15.15" customHeight="1" x14ac:dyDescent="0.3"/>
    <row r="50" ht="15.15" customHeight="1" x14ac:dyDescent="0.3"/>
    <row r="51" ht="15.15" customHeight="1" x14ac:dyDescent="0.3"/>
    <row r="52" ht="15.15" customHeight="1" x14ac:dyDescent="0.3"/>
    <row r="53" ht="15.15" customHeight="1" x14ac:dyDescent="0.3"/>
    <row r="54" ht="15.15" customHeight="1" x14ac:dyDescent="0.3"/>
    <row r="55" ht="15.15" customHeight="1" x14ac:dyDescent="0.3"/>
    <row r="56" ht="15.15" customHeight="1" x14ac:dyDescent="0.3"/>
    <row r="57" ht="15.15" customHeight="1" x14ac:dyDescent="0.3"/>
    <row r="58" ht="15.15" customHeight="1" x14ac:dyDescent="0.3"/>
    <row r="59" ht="15.15" customHeight="1" x14ac:dyDescent="0.3"/>
    <row r="60" ht="15.15" customHeight="1" x14ac:dyDescent="0.3"/>
    <row r="61" ht="15.15" customHeight="1" x14ac:dyDescent="0.3"/>
    <row r="62" ht="15.15" customHeight="1" x14ac:dyDescent="0.3"/>
    <row r="63" ht="15.15" customHeight="1" x14ac:dyDescent="0.3"/>
    <row r="64" ht="15.15" customHeight="1" x14ac:dyDescent="0.3"/>
    <row r="65" ht="15.15" customHeight="1" x14ac:dyDescent="0.3"/>
  </sheetData>
  <mergeCells count="1">
    <mergeCell ref="S18:AI18"/>
  </mergeCells>
  <conditionalFormatting sqref="T2:AI17">
    <cfRule type="colorScale" priority="1">
      <colorScale>
        <cfvo type="num" val="0"/>
        <cfvo type="num" val="255"/>
        <color theme="0"/>
        <color theme="1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2586D-48DC-4440-B0E7-59A40E258288}">
  <dimension ref="A1:T35"/>
  <sheetViews>
    <sheetView topLeftCell="A19" workbookViewId="0">
      <selection activeCell="U2" sqref="U2"/>
    </sheetView>
  </sheetViews>
  <sheetFormatPr defaultRowHeight="14.4" x14ac:dyDescent="0.3"/>
  <sheetData>
    <row r="1" spans="1:20" ht="40.049999999999997" customHeight="1" thickBot="1" x14ac:dyDescent="0.35">
      <c r="A1" s="41" t="s">
        <v>1</v>
      </c>
      <c r="B1" s="56">
        <v>0</v>
      </c>
      <c r="C1" s="57">
        <v>1</v>
      </c>
      <c r="D1" s="57">
        <v>2</v>
      </c>
      <c r="E1" s="57">
        <v>3</v>
      </c>
      <c r="F1" s="57">
        <v>4</v>
      </c>
      <c r="G1" s="57">
        <v>5</v>
      </c>
      <c r="H1" s="57">
        <v>6</v>
      </c>
      <c r="I1" s="58">
        <v>7</v>
      </c>
      <c r="J1" s="53">
        <v>0</v>
      </c>
      <c r="K1" s="54">
        <v>1</v>
      </c>
      <c r="L1" s="54">
        <v>2</v>
      </c>
      <c r="M1" s="54">
        <v>3</v>
      </c>
      <c r="N1" s="54">
        <v>4</v>
      </c>
      <c r="O1" s="54">
        <v>5</v>
      </c>
      <c r="P1" s="54">
        <v>6</v>
      </c>
      <c r="Q1" s="55">
        <v>7</v>
      </c>
    </row>
    <row r="2" spans="1:20" ht="40.049999999999997" customHeight="1" thickBot="1" x14ac:dyDescent="0.35">
      <c r="A2" s="59">
        <v>0</v>
      </c>
      <c r="B2" s="1">
        <f>IF($A2&gt;0,SQRT(2/$T$2)*COS(((2*B$1+1)*$A2*PI())/(2*$T$2)),1/SQRT($T$2))</f>
        <v>0.35355339059327373</v>
      </c>
      <c r="C2" s="2">
        <f t="shared" ref="C2:J10" si="0">IF($A2&gt;0,SQRT(2/$T$2)*COS(((2*C$1+1)*$A2*PI())/(2*$T$2)),1/SQRT($T$2))</f>
        <v>0.35355339059327373</v>
      </c>
      <c r="D2" s="2">
        <f t="shared" si="0"/>
        <v>0.35355339059327373</v>
      </c>
      <c r="E2" s="2">
        <f t="shared" si="0"/>
        <v>0.35355339059327373</v>
      </c>
      <c r="F2" s="2">
        <f t="shared" si="0"/>
        <v>0.35355339059327373</v>
      </c>
      <c r="G2" s="2">
        <f t="shared" si="0"/>
        <v>0.35355339059327373</v>
      </c>
      <c r="H2" s="2">
        <f t="shared" si="0"/>
        <v>0.35355339059327373</v>
      </c>
      <c r="I2" s="3">
        <f t="shared" si="0"/>
        <v>0.35355339059327373</v>
      </c>
      <c r="J2" s="50">
        <f>IF($A2&gt;0,SQRT(2/$T$2)*COS(((2*J$1+1)*$A2*PI())/(2*$T$2)),1/SQRT($T$2))</f>
        <v>0.35355339059327373</v>
      </c>
      <c r="K2" s="43">
        <f t="shared" ref="K2:Q17" si="1">IF($A2&gt;0,SQRT(2/$T$2)*COS(((2*K$1+1)*$A2*PI())/(2*$T$2)),1/SQRT($T$2))</f>
        <v>0.35355339059327373</v>
      </c>
      <c r="L2" s="43">
        <f t="shared" si="1"/>
        <v>0.35355339059327373</v>
      </c>
      <c r="M2" s="43">
        <f t="shared" si="1"/>
        <v>0.35355339059327373</v>
      </c>
      <c r="N2" s="43">
        <f t="shared" si="1"/>
        <v>0.35355339059327373</v>
      </c>
      <c r="O2" s="43">
        <f t="shared" si="1"/>
        <v>0.35355339059327373</v>
      </c>
      <c r="P2" s="43">
        <f t="shared" si="1"/>
        <v>0.35355339059327373</v>
      </c>
      <c r="Q2" s="44">
        <f t="shared" si="1"/>
        <v>0.35355339059327373</v>
      </c>
      <c r="S2" s="52" t="s">
        <v>0</v>
      </c>
      <c r="T2" s="42">
        <v>8</v>
      </c>
    </row>
    <row r="3" spans="1:20" ht="40.049999999999997" customHeight="1" x14ac:dyDescent="0.3">
      <c r="A3" s="60">
        <v>1</v>
      </c>
      <c r="B3" s="7">
        <f t="shared" ref="B3:B9" si="2">IF($A3&gt;0,SQRT(2/$T$2)*COS(((2*B$1+1)*$A3*PI())/(2*$T$2)),1/SQRT($T$2))</f>
        <v>0.49039264020161522</v>
      </c>
      <c r="C3" s="8">
        <f t="shared" si="0"/>
        <v>0.41573480615127262</v>
      </c>
      <c r="D3" s="8">
        <f t="shared" si="0"/>
        <v>0.27778511650980114</v>
      </c>
      <c r="E3" s="8">
        <f t="shared" si="0"/>
        <v>9.7545161008064166E-2</v>
      </c>
      <c r="F3" s="8">
        <f t="shared" si="0"/>
        <v>-9.7545161008064096E-2</v>
      </c>
      <c r="G3" s="8">
        <f t="shared" si="0"/>
        <v>-0.27778511650980098</v>
      </c>
      <c r="H3" s="8">
        <f t="shared" si="0"/>
        <v>-0.41573480615127267</v>
      </c>
      <c r="I3" s="9">
        <f t="shared" si="0"/>
        <v>-0.49039264020161522</v>
      </c>
      <c r="J3" s="47">
        <f t="shared" si="0"/>
        <v>0.49039264020161522</v>
      </c>
      <c r="K3" s="45">
        <f t="shared" si="1"/>
        <v>0.41573480615127262</v>
      </c>
      <c r="L3" s="45">
        <f t="shared" si="1"/>
        <v>0.27778511650980114</v>
      </c>
      <c r="M3" s="45">
        <f t="shared" si="1"/>
        <v>9.7545161008064166E-2</v>
      </c>
      <c r="N3" s="45">
        <f t="shared" si="1"/>
        <v>-9.7545161008064096E-2</v>
      </c>
      <c r="O3" s="45">
        <f t="shared" si="1"/>
        <v>-0.27778511650980098</v>
      </c>
      <c r="P3" s="45">
        <f t="shared" si="1"/>
        <v>-0.41573480615127267</v>
      </c>
      <c r="Q3" s="46">
        <f t="shared" si="1"/>
        <v>-0.49039264020161522</v>
      </c>
    </row>
    <row r="4" spans="1:20" ht="40.049999999999997" customHeight="1" x14ac:dyDescent="0.3">
      <c r="A4" s="60">
        <v>2</v>
      </c>
      <c r="B4" s="7">
        <f t="shared" si="2"/>
        <v>0.46193976625564337</v>
      </c>
      <c r="C4" s="8">
        <f t="shared" si="0"/>
        <v>0.19134171618254492</v>
      </c>
      <c r="D4" s="8">
        <f t="shared" si="0"/>
        <v>-0.19134171618254486</v>
      </c>
      <c r="E4" s="8">
        <f t="shared" si="0"/>
        <v>-0.46193976625564337</v>
      </c>
      <c r="F4" s="8">
        <f t="shared" si="0"/>
        <v>-0.46193976625564342</v>
      </c>
      <c r="G4" s="8">
        <f t="shared" si="0"/>
        <v>-0.19134171618254517</v>
      </c>
      <c r="H4" s="8">
        <f t="shared" si="0"/>
        <v>0.191341716182545</v>
      </c>
      <c r="I4" s="9">
        <f t="shared" si="0"/>
        <v>0.46193976625564326</v>
      </c>
      <c r="J4" s="47">
        <f t="shared" si="0"/>
        <v>0.46193976625564337</v>
      </c>
      <c r="K4" s="45">
        <f t="shared" si="1"/>
        <v>0.19134171618254492</v>
      </c>
      <c r="L4" s="45">
        <f t="shared" si="1"/>
        <v>-0.19134171618254486</v>
      </c>
      <c r="M4" s="45">
        <f t="shared" si="1"/>
        <v>-0.46193976625564337</v>
      </c>
      <c r="N4" s="45">
        <f t="shared" si="1"/>
        <v>-0.46193976625564342</v>
      </c>
      <c r="O4" s="45">
        <f t="shared" si="1"/>
        <v>-0.19134171618254517</v>
      </c>
      <c r="P4" s="45">
        <f t="shared" si="1"/>
        <v>0.191341716182545</v>
      </c>
      <c r="Q4" s="46">
        <f t="shared" si="1"/>
        <v>0.46193976625564326</v>
      </c>
    </row>
    <row r="5" spans="1:20" ht="40.049999999999997" customHeight="1" x14ac:dyDescent="0.3">
      <c r="A5" s="60">
        <v>3</v>
      </c>
      <c r="B5" s="7">
        <f t="shared" si="2"/>
        <v>0.41573480615127262</v>
      </c>
      <c r="C5" s="8">
        <f t="shared" si="0"/>
        <v>-9.7545161008064096E-2</v>
      </c>
      <c r="D5" s="8">
        <f t="shared" si="0"/>
        <v>-0.49039264020161522</v>
      </c>
      <c r="E5" s="8">
        <f t="shared" si="0"/>
        <v>-0.27778511650980109</v>
      </c>
      <c r="F5" s="8">
        <f t="shared" si="0"/>
        <v>0.27778511650980092</v>
      </c>
      <c r="G5" s="8">
        <f t="shared" si="0"/>
        <v>0.49039264020161522</v>
      </c>
      <c r="H5" s="8">
        <f t="shared" si="0"/>
        <v>9.7545161008064388E-2</v>
      </c>
      <c r="I5" s="9">
        <f t="shared" si="0"/>
        <v>-0.41573480615127256</v>
      </c>
      <c r="J5" s="47">
        <f t="shared" si="0"/>
        <v>0.41573480615127262</v>
      </c>
      <c r="K5" s="45">
        <f t="shared" si="1"/>
        <v>-9.7545161008064096E-2</v>
      </c>
      <c r="L5" s="45">
        <f t="shared" si="1"/>
        <v>-0.49039264020161522</v>
      </c>
      <c r="M5" s="45">
        <f t="shared" si="1"/>
        <v>-0.27778511650980109</v>
      </c>
      <c r="N5" s="45">
        <f t="shared" si="1"/>
        <v>0.27778511650980092</v>
      </c>
      <c r="O5" s="45">
        <f t="shared" si="1"/>
        <v>0.49039264020161522</v>
      </c>
      <c r="P5" s="45">
        <f t="shared" si="1"/>
        <v>9.7545161008064388E-2</v>
      </c>
      <c r="Q5" s="46">
        <f t="shared" si="1"/>
        <v>-0.41573480615127256</v>
      </c>
    </row>
    <row r="6" spans="1:20" ht="40.049999999999997" customHeight="1" x14ac:dyDescent="0.3">
      <c r="A6" s="60">
        <v>4</v>
      </c>
      <c r="B6" s="7">
        <f t="shared" si="2"/>
        <v>0.35355339059327379</v>
      </c>
      <c r="C6" s="8">
        <f t="shared" si="0"/>
        <v>-0.35355339059327373</v>
      </c>
      <c r="D6" s="8">
        <f t="shared" si="0"/>
        <v>-0.35355339059327384</v>
      </c>
      <c r="E6" s="8">
        <f t="shared" si="0"/>
        <v>0.35355339059327368</v>
      </c>
      <c r="F6" s="8">
        <f t="shared" si="0"/>
        <v>0.35355339059327384</v>
      </c>
      <c r="G6" s="8">
        <f t="shared" si="0"/>
        <v>-0.35355339059327334</v>
      </c>
      <c r="H6" s="8">
        <f t="shared" si="0"/>
        <v>-0.35355339059327356</v>
      </c>
      <c r="I6" s="9">
        <f t="shared" si="0"/>
        <v>0.35355339059327329</v>
      </c>
      <c r="J6" s="47">
        <f t="shared" si="0"/>
        <v>0.35355339059327379</v>
      </c>
      <c r="K6" s="45">
        <f t="shared" si="1"/>
        <v>-0.35355339059327373</v>
      </c>
      <c r="L6" s="45">
        <f t="shared" si="1"/>
        <v>-0.35355339059327384</v>
      </c>
      <c r="M6" s="45">
        <f t="shared" si="1"/>
        <v>0.35355339059327368</v>
      </c>
      <c r="N6" s="45">
        <f t="shared" si="1"/>
        <v>0.35355339059327384</v>
      </c>
      <c r="O6" s="45">
        <f t="shared" si="1"/>
        <v>-0.35355339059327334</v>
      </c>
      <c r="P6" s="45">
        <f t="shared" si="1"/>
        <v>-0.35355339059327356</v>
      </c>
      <c r="Q6" s="46">
        <f t="shared" si="1"/>
        <v>0.35355339059327329</v>
      </c>
    </row>
    <row r="7" spans="1:20" ht="40.049999999999997" customHeight="1" x14ac:dyDescent="0.3">
      <c r="A7" s="60">
        <v>5</v>
      </c>
      <c r="B7" s="7">
        <f t="shared" si="2"/>
        <v>0.27778511650980114</v>
      </c>
      <c r="C7" s="8">
        <f t="shared" si="0"/>
        <v>-0.49039264020161522</v>
      </c>
      <c r="D7" s="8">
        <f t="shared" si="0"/>
        <v>9.7545161008064152E-2</v>
      </c>
      <c r="E7" s="8">
        <f t="shared" si="0"/>
        <v>0.41573480615127273</v>
      </c>
      <c r="F7" s="8">
        <f t="shared" si="0"/>
        <v>-0.41573480615127256</v>
      </c>
      <c r="G7" s="8">
        <f t="shared" si="0"/>
        <v>-9.7545161008064013E-2</v>
      </c>
      <c r="H7" s="8">
        <f t="shared" si="0"/>
        <v>0.49039264020161533</v>
      </c>
      <c r="I7" s="9">
        <f t="shared" si="0"/>
        <v>-0.27778511650980076</v>
      </c>
      <c r="J7" s="47">
        <f t="shared" si="0"/>
        <v>0.27778511650980114</v>
      </c>
      <c r="K7" s="45">
        <f t="shared" si="1"/>
        <v>-0.49039264020161522</v>
      </c>
      <c r="L7" s="45">
        <f t="shared" si="1"/>
        <v>9.7545161008064152E-2</v>
      </c>
      <c r="M7" s="45">
        <f t="shared" si="1"/>
        <v>0.41573480615127273</v>
      </c>
      <c r="N7" s="45">
        <f t="shared" si="1"/>
        <v>-0.41573480615127256</v>
      </c>
      <c r="O7" s="45">
        <f t="shared" si="1"/>
        <v>-9.7545161008064013E-2</v>
      </c>
      <c r="P7" s="45">
        <f t="shared" si="1"/>
        <v>0.49039264020161533</v>
      </c>
      <c r="Q7" s="46">
        <f t="shared" si="1"/>
        <v>-0.27778511650980076</v>
      </c>
    </row>
    <row r="8" spans="1:20" ht="40.049999999999997" customHeight="1" x14ac:dyDescent="0.3">
      <c r="A8" s="60">
        <v>6</v>
      </c>
      <c r="B8" s="7">
        <f t="shared" si="2"/>
        <v>0.19134171618254492</v>
      </c>
      <c r="C8" s="8">
        <f t="shared" si="0"/>
        <v>-0.46193976625564342</v>
      </c>
      <c r="D8" s="8">
        <f t="shared" si="0"/>
        <v>0.46193976625564326</v>
      </c>
      <c r="E8" s="8">
        <f t="shared" si="0"/>
        <v>-0.19134171618254495</v>
      </c>
      <c r="F8" s="8">
        <f t="shared" si="0"/>
        <v>-0.19134171618254528</v>
      </c>
      <c r="G8" s="8">
        <f t="shared" si="0"/>
        <v>0.46193976625564337</v>
      </c>
      <c r="H8" s="8">
        <f t="shared" si="0"/>
        <v>-0.4619397662556432</v>
      </c>
      <c r="I8" s="9">
        <f t="shared" si="0"/>
        <v>0.19134171618254478</v>
      </c>
      <c r="J8" s="47">
        <f t="shared" si="0"/>
        <v>0.19134171618254492</v>
      </c>
      <c r="K8" s="45">
        <f t="shared" si="1"/>
        <v>-0.46193976625564342</v>
      </c>
      <c r="L8" s="45">
        <f t="shared" si="1"/>
        <v>0.46193976625564326</v>
      </c>
      <c r="M8" s="45">
        <f t="shared" si="1"/>
        <v>-0.19134171618254495</v>
      </c>
      <c r="N8" s="45">
        <f t="shared" si="1"/>
        <v>-0.19134171618254528</v>
      </c>
      <c r="O8" s="45">
        <f t="shared" si="1"/>
        <v>0.46193976625564337</v>
      </c>
      <c r="P8" s="45">
        <f t="shared" si="1"/>
        <v>-0.4619397662556432</v>
      </c>
      <c r="Q8" s="46">
        <f t="shared" si="1"/>
        <v>0.19134171618254478</v>
      </c>
    </row>
    <row r="9" spans="1:20" ht="40.049999999999997" customHeight="1" thickBot="1" x14ac:dyDescent="0.35">
      <c r="A9" s="61">
        <v>7</v>
      </c>
      <c r="B9" s="13">
        <f t="shared" si="2"/>
        <v>9.7545161008064166E-2</v>
      </c>
      <c r="C9" s="14">
        <f t="shared" si="0"/>
        <v>-0.27778511650980109</v>
      </c>
      <c r="D9" s="14">
        <f t="shared" si="0"/>
        <v>0.41573480615127273</v>
      </c>
      <c r="E9" s="14">
        <f t="shared" si="0"/>
        <v>-0.49039264020161533</v>
      </c>
      <c r="F9" s="14">
        <f t="shared" si="0"/>
        <v>0.49039264020161522</v>
      </c>
      <c r="G9" s="14">
        <f t="shared" si="0"/>
        <v>-0.41573480615127251</v>
      </c>
      <c r="H9" s="14">
        <f t="shared" si="0"/>
        <v>0.27778511650980076</v>
      </c>
      <c r="I9" s="15">
        <f t="shared" si="0"/>
        <v>-9.7545161008064291E-2</v>
      </c>
      <c r="J9" s="48">
        <f t="shared" si="0"/>
        <v>9.7545161008064166E-2</v>
      </c>
      <c r="K9" s="49">
        <f t="shared" si="1"/>
        <v>-0.27778511650980109</v>
      </c>
      <c r="L9" s="49">
        <f t="shared" si="1"/>
        <v>0.41573480615127273</v>
      </c>
      <c r="M9" s="49">
        <f t="shared" si="1"/>
        <v>-0.49039264020161533</v>
      </c>
      <c r="N9" s="49">
        <f t="shared" si="1"/>
        <v>0.49039264020161522</v>
      </c>
      <c r="O9" s="49">
        <f t="shared" si="1"/>
        <v>-0.41573480615127251</v>
      </c>
      <c r="P9" s="49">
        <f t="shared" si="1"/>
        <v>0.27778511650980076</v>
      </c>
      <c r="Q9" s="51">
        <f t="shared" si="1"/>
        <v>-9.7545161008064291E-2</v>
      </c>
    </row>
    <row r="10" spans="1:20" ht="40.049999999999997" customHeight="1" x14ac:dyDescent="0.3">
      <c r="A10" s="62">
        <v>0</v>
      </c>
      <c r="B10" s="50">
        <f>IF($A10&gt;0,SQRT(2/$T$2)*COS(((2*B$1+1)*$A10*PI())/(2*$T$2)),1/SQRT($T$2))</f>
        <v>0.35355339059327373</v>
      </c>
      <c r="C10" s="43">
        <f t="shared" si="0"/>
        <v>0.35355339059327373</v>
      </c>
      <c r="D10" s="43">
        <f t="shared" si="0"/>
        <v>0.35355339059327373</v>
      </c>
      <c r="E10" s="43">
        <f t="shared" si="0"/>
        <v>0.35355339059327373</v>
      </c>
      <c r="F10" s="43">
        <f t="shared" si="0"/>
        <v>0.35355339059327373</v>
      </c>
      <c r="G10" s="43">
        <f t="shared" si="0"/>
        <v>0.35355339059327373</v>
      </c>
      <c r="H10" s="43">
        <f t="shared" si="0"/>
        <v>0.35355339059327373</v>
      </c>
      <c r="I10" s="44">
        <f t="shared" si="0"/>
        <v>0.35355339059327373</v>
      </c>
      <c r="J10" s="1">
        <f>IF($A10&gt;0,SQRT(2/$T$2)*COS(((2*J$1+1)*$A10*PI())/(2*$T$2)),1/SQRT($T$2))</f>
        <v>0.35355339059327373</v>
      </c>
      <c r="K10" s="2">
        <f t="shared" si="1"/>
        <v>0.35355339059327373</v>
      </c>
      <c r="L10" s="2">
        <f t="shared" si="1"/>
        <v>0.35355339059327373</v>
      </c>
      <c r="M10" s="2">
        <f t="shared" si="1"/>
        <v>0.35355339059327373</v>
      </c>
      <c r="N10" s="2">
        <f t="shared" si="1"/>
        <v>0.35355339059327373</v>
      </c>
      <c r="O10" s="2">
        <f t="shared" si="1"/>
        <v>0.35355339059327373</v>
      </c>
      <c r="P10" s="2">
        <f t="shared" si="1"/>
        <v>0.35355339059327373</v>
      </c>
      <c r="Q10" s="3">
        <f t="shared" si="1"/>
        <v>0.35355339059327373</v>
      </c>
    </row>
    <row r="11" spans="1:20" ht="40.049999999999997" customHeight="1" x14ac:dyDescent="0.3">
      <c r="A11" s="63">
        <v>1</v>
      </c>
      <c r="B11" s="47">
        <f t="shared" ref="B11:J17" si="3">IF($A11&gt;0,SQRT(2/$T$2)*COS(((2*B$1+1)*$A11*PI())/(2*$T$2)),1/SQRT($T$2))</f>
        <v>0.49039264020161522</v>
      </c>
      <c r="C11" s="45">
        <f t="shared" si="3"/>
        <v>0.41573480615127262</v>
      </c>
      <c r="D11" s="45">
        <f t="shared" si="3"/>
        <v>0.27778511650980114</v>
      </c>
      <c r="E11" s="45">
        <f t="shared" si="3"/>
        <v>9.7545161008064166E-2</v>
      </c>
      <c r="F11" s="45">
        <f t="shared" si="3"/>
        <v>-9.7545161008064096E-2</v>
      </c>
      <c r="G11" s="45">
        <f t="shared" si="3"/>
        <v>-0.27778511650980098</v>
      </c>
      <c r="H11" s="45">
        <f t="shared" si="3"/>
        <v>-0.41573480615127267</v>
      </c>
      <c r="I11" s="46">
        <f t="shared" si="3"/>
        <v>-0.49039264020161522</v>
      </c>
      <c r="J11" s="7">
        <f t="shared" si="3"/>
        <v>0.49039264020161522</v>
      </c>
      <c r="K11" s="8">
        <f t="shared" si="1"/>
        <v>0.41573480615127262</v>
      </c>
      <c r="L11" s="8">
        <f t="shared" si="1"/>
        <v>0.27778511650980114</v>
      </c>
      <c r="M11" s="8">
        <f t="shared" si="1"/>
        <v>9.7545161008064166E-2</v>
      </c>
      <c r="N11" s="8">
        <f t="shared" si="1"/>
        <v>-9.7545161008064096E-2</v>
      </c>
      <c r="O11" s="8">
        <f t="shared" si="1"/>
        <v>-0.27778511650980098</v>
      </c>
      <c r="P11" s="8">
        <f t="shared" si="1"/>
        <v>-0.41573480615127267</v>
      </c>
      <c r="Q11" s="9">
        <f t="shared" si="1"/>
        <v>-0.49039264020161522</v>
      </c>
    </row>
    <row r="12" spans="1:20" ht="40.049999999999997" customHeight="1" x14ac:dyDescent="0.3">
      <c r="A12" s="63">
        <v>2</v>
      </c>
      <c r="B12" s="47">
        <f t="shared" si="3"/>
        <v>0.46193976625564337</v>
      </c>
      <c r="C12" s="45">
        <f t="shared" si="3"/>
        <v>0.19134171618254492</v>
      </c>
      <c r="D12" s="45">
        <f t="shared" si="3"/>
        <v>-0.19134171618254486</v>
      </c>
      <c r="E12" s="45">
        <f t="shared" si="3"/>
        <v>-0.46193976625564337</v>
      </c>
      <c r="F12" s="45">
        <f t="shared" si="3"/>
        <v>-0.46193976625564342</v>
      </c>
      <c r="G12" s="45">
        <f t="shared" si="3"/>
        <v>-0.19134171618254517</v>
      </c>
      <c r="H12" s="45">
        <f t="shared" si="3"/>
        <v>0.191341716182545</v>
      </c>
      <c r="I12" s="46">
        <f t="shared" si="3"/>
        <v>0.46193976625564326</v>
      </c>
      <c r="J12" s="7">
        <f t="shared" si="3"/>
        <v>0.46193976625564337</v>
      </c>
      <c r="K12" s="8">
        <f t="shared" si="1"/>
        <v>0.19134171618254492</v>
      </c>
      <c r="L12" s="8">
        <f t="shared" si="1"/>
        <v>-0.19134171618254486</v>
      </c>
      <c r="M12" s="8">
        <f t="shared" si="1"/>
        <v>-0.46193976625564337</v>
      </c>
      <c r="N12" s="8">
        <f t="shared" si="1"/>
        <v>-0.46193976625564342</v>
      </c>
      <c r="O12" s="8">
        <f t="shared" si="1"/>
        <v>-0.19134171618254517</v>
      </c>
      <c r="P12" s="8">
        <f t="shared" si="1"/>
        <v>0.191341716182545</v>
      </c>
      <c r="Q12" s="9">
        <f t="shared" si="1"/>
        <v>0.46193976625564326</v>
      </c>
    </row>
    <row r="13" spans="1:20" ht="40.049999999999997" customHeight="1" x14ac:dyDescent="0.3">
      <c r="A13" s="63">
        <v>3</v>
      </c>
      <c r="B13" s="47">
        <f t="shared" si="3"/>
        <v>0.41573480615127262</v>
      </c>
      <c r="C13" s="45">
        <f t="shared" si="3"/>
        <v>-9.7545161008064096E-2</v>
      </c>
      <c r="D13" s="45">
        <f t="shared" si="3"/>
        <v>-0.49039264020161522</v>
      </c>
      <c r="E13" s="45">
        <f t="shared" si="3"/>
        <v>-0.27778511650980109</v>
      </c>
      <c r="F13" s="45">
        <f t="shared" si="3"/>
        <v>0.27778511650980092</v>
      </c>
      <c r="G13" s="45">
        <f t="shared" si="3"/>
        <v>0.49039264020161522</v>
      </c>
      <c r="H13" s="45">
        <f t="shared" si="3"/>
        <v>9.7545161008064388E-2</v>
      </c>
      <c r="I13" s="46">
        <f t="shared" si="3"/>
        <v>-0.41573480615127256</v>
      </c>
      <c r="J13" s="7">
        <f t="shared" si="3"/>
        <v>0.41573480615127262</v>
      </c>
      <c r="K13" s="8">
        <f t="shared" si="1"/>
        <v>-9.7545161008064096E-2</v>
      </c>
      <c r="L13" s="8">
        <f t="shared" si="1"/>
        <v>-0.49039264020161522</v>
      </c>
      <c r="M13" s="8">
        <f t="shared" si="1"/>
        <v>-0.27778511650980109</v>
      </c>
      <c r="N13" s="8">
        <f t="shared" si="1"/>
        <v>0.27778511650980092</v>
      </c>
      <c r="O13" s="8">
        <f t="shared" si="1"/>
        <v>0.49039264020161522</v>
      </c>
      <c r="P13" s="8">
        <f t="shared" si="1"/>
        <v>9.7545161008064388E-2</v>
      </c>
      <c r="Q13" s="9">
        <f t="shared" si="1"/>
        <v>-0.41573480615127256</v>
      </c>
    </row>
    <row r="14" spans="1:20" ht="40.049999999999997" customHeight="1" x14ac:dyDescent="0.3">
      <c r="A14" s="63">
        <v>4</v>
      </c>
      <c r="B14" s="47">
        <f t="shared" si="3"/>
        <v>0.35355339059327379</v>
      </c>
      <c r="C14" s="45">
        <f t="shared" si="3"/>
        <v>-0.35355339059327373</v>
      </c>
      <c r="D14" s="45">
        <f t="shared" si="3"/>
        <v>-0.35355339059327384</v>
      </c>
      <c r="E14" s="45">
        <f t="shared" si="3"/>
        <v>0.35355339059327368</v>
      </c>
      <c r="F14" s="45">
        <f t="shared" si="3"/>
        <v>0.35355339059327384</v>
      </c>
      <c r="G14" s="45">
        <f t="shared" si="3"/>
        <v>-0.35355339059327334</v>
      </c>
      <c r="H14" s="45">
        <f t="shared" si="3"/>
        <v>-0.35355339059327356</v>
      </c>
      <c r="I14" s="46">
        <f t="shared" si="3"/>
        <v>0.35355339059327329</v>
      </c>
      <c r="J14" s="7">
        <f t="shared" si="3"/>
        <v>0.35355339059327379</v>
      </c>
      <c r="K14" s="8">
        <f t="shared" si="1"/>
        <v>-0.35355339059327373</v>
      </c>
      <c r="L14" s="8">
        <f t="shared" si="1"/>
        <v>-0.35355339059327384</v>
      </c>
      <c r="M14" s="8">
        <f t="shared" si="1"/>
        <v>0.35355339059327368</v>
      </c>
      <c r="N14" s="8">
        <f t="shared" si="1"/>
        <v>0.35355339059327384</v>
      </c>
      <c r="O14" s="8">
        <f t="shared" si="1"/>
        <v>-0.35355339059327334</v>
      </c>
      <c r="P14" s="8">
        <f t="shared" si="1"/>
        <v>-0.35355339059327356</v>
      </c>
      <c r="Q14" s="9">
        <f t="shared" si="1"/>
        <v>0.35355339059327329</v>
      </c>
    </row>
    <row r="15" spans="1:20" ht="40.049999999999997" customHeight="1" x14ac:dyDescent="0.3">
      <c r="A15" s="63">
        <v>5</v>
      </c>
      <c r="B15" s="47">
        <f t="shared" si="3"/>
        <v>0.27778511650980114</v>
      </c>
      <c r="C15" s="45">
        <f t="shared" si="3"/>
        <v>-0.49039264020161522</v>
      </c>
      <c r="D15" s="45">
        <f t="shared" si="3"/>
        <v>9.7545161008064152E-2</v>
      </c>
      <c r="E15" s="45">
        <f t="shared" si="3"/>
        <v>0.41573480615127273</v>
      </c>
      <c r="F15" s="45">
        <f t="shared" si="3"/>
        <v>-0.41573480615127256</v>
      </c>
      <c r="G15" s="45">
        <f t="shared" si="3"/>
        <v>-9.7545161008064013E-2</v>
      </c>
      <c r="H15" s="45">
        <f t="shared" si="3"/>
        <v>0.49039264020161533</v>
      </c>
      <c r="I15" s="46">
        <f t="shared" si="3"/>
        <v>-0.27778511650980076</v>
      </c>
      <c r="J15" s="7">
        <f t="shared" si="3"/>
        <v>0.27778511650980114</v>
      </c>
      <c r="K15" s="8">
        <f t="shared" si="1"/>
        <v>-0.49039264020161522</v>
      </c>
      <c r="L15" s="8">
        <f t="shared" si="1"/>
        <v>9.7545161008064152E-2</v>
      </c>
      <c r="M15" s="8">
        <f t="shared" si="1"/>
        <v>0.41573480615127273</v>
      </c>
      <c r="N15" s="8">
        <f t="shared" si="1"/>
        <v>-0.41573480615127256</v>
      </c>
      <c r="O15" s="8">
        <f t="shared" si="1"/>
        <v>-9.7545161008064013E-2</v>
      </c>
      <c r="P15" s="8">
        <f t="shared" si="1"/>
        <v>0.49039264020161533</v>
      </c>
      <c r="Q15" s="9">
        <f t="shared" si="1"/>
        <v>-0.27778511650980076</v>
      </c>
    </row>
    <row r="16" spans="1:20" ht="40.049999999999997" customHeight="1" x14ac:dyDescent="0.3">
      <c r="A16" s="63">
        <v>6</v>
      </c>
      <c r="B16" s="47">
        <f t="shared" si="3"/>
        <v>0.19134171618254492</v>
      </c>
      <c r="C16" s="45">
        <f t="shared" si="3"/>
        <v>-0.46193976625564342</v>
      </c>
      <c r="D16" s="45">
        <f t="shared" si="3"/>
        <v>0.46193976625564326</v>
      </c>
      <c r="E16" s="45">
        <f t="shared" si="3"/>
        <v>-0.19134171618254495</v>
      </c>
      <c r="F16" s="45">
        <f t="shared" si="3"/>
        <v>-0.19134171618254528</v>
      </c>
      <c r="G16" s="45">
        <f t="shared" si="3"/>
        <v>0.46193976625564337</v>
      </c>
      <c r="H16" s="45">
        <f t="shared" si="3"/>
        <v>-0.4619397662556432</v>
      </c>
      <c r="I16" s="46">
        <f t="shared" si="3"/>
        <v>0.19134171618254478</v>
      </c>
      <c r="J16" s="7">
        <f t="shared" si="3"/>
        <v>0.19134171618254492</v>
      </c>
      <c r="K16" s="8">
        <f t="shared" si="1"/>
        <v>-0.46193976625564342</v>
      </c>
      <c r="L16" s="8">
        <f t="shared" si="1"/>
        <v>0.46193976625564326</v>
      </c>
      <c r="M16" s="8">
        <f t="shared" si="1"/>
        <v>-0.19134171618254495</v>
      </c>
      <c r="N16" s="8">
        <f t="shared" si="1"/>
        <v>-0.19134171618254528</v>
      </c>
      <c r="O16" s="8">
        <f t="shared" si="1"/>
        <v>0.46193976625564337</v>
      </c>
      <c r="P16" s="8">
        <f t="shared" si="1"/>
        <v>-0.4619397662556432</v>
      </c>
      <c r="Q16" s="9">
        <f t="shared" si="1"/>
        <v>0.19134171618254478</v>
      </c>
    </row>
    <row r="17" spans="1:17" ht="40.049999999999997" customHeight="1" thickBot="1" x14ac:dyDescent="0.35">
      <c r="A17" s="64">
        <v>7</v>
      </c>
      <c r="B17" s="48">
        <f t="shared" si="3"/>
        <v>9.7545161008064166E-2</v>
      </c>
      <c r="C17" s="49">
        <f t="shared" si="3"/>
        <v>-0.27778511650980109</v>
      </c>
      <c r="D17" s="49">
        <f t="shared" si="3"/>
        <v>0.41573480615127273</v>
      </c>
      <c r="E17" s="49">
        <f t="shared" si="3"/>
        <v>-0.49039264020161533</v>
      </c>
      <c r="F17" s="49">
        <f t="shared" si="3"/>
        <v>0.49039264020161522</v>
      </c>
      <c r="G17" s="49">
        <f t="shared" si="3"/>
        <v>-0.41573480615127251</v>
      </c>
      <c r="H17" s="49">
        <f t="shared" si="3"/>
        <v>0.27778511650980076</v>
      </c>
      <c r="I17" s="51">
        <f t="shared" si="3"/>
        <v>-9.7545161008064291E-2</v>
      </c>
      <c r="J17" s="13">
        <f t="shared" si="3"/>
        <v>9.7545161008064166E-2</v>
      </c>
      <c r="K17" s="14">
        <f t="shared" si="1"/>
        <v>-0.27778511650980109</v>
      </c>
      <c r="L17" s="14">
        <f t="shared" si="1"/>
        <v>0.41573480615127273</v>
      </c>
      <c r="M17" s="14">
        <f t="shared" si="1"/>
        <v>-0.49039264020161533</v>
      </c>
      <c r="N17" s="14">
        <f t="shared" si="1"/>
        <v>0.49039264020161522</v>
      </c>
      <c r="O17" s="14">
        <f t="shared" si="1"/>
        <v>-0.41573480615127251</v>
      </c>
      <c r="P17" s="14">
        <f t="shared" si="1"/>
        <v>0.27778511650980076</v>
      </c>
      <c r="Q17" s="15">
        <f t="shared" si="1"/>
        <v>-9.7545161008064291E-2</v>
      </c>
    </row>
    <row r="18" spans="1:17" ht="15" thickBot="1" x14ac:dyDescent="0.35"/>
    <row r="19" spans="1:17" ht="40.049999999999997" customHeight="1" thickBot="1" x14ac:dyDescent="0.35">
      <c r="A19" s="41" t="s">
        <v>1</v>
      </c>
      <c r="B19" s="65">
        <v>0</v>
      </c>
      <c r="C19" s="66">
        <v>1</v>
      </c>
      <c r="D19" s="66">
        <v>2</v>
      </c>
      <c r="E19" s="66">
        <v>3</v>
      </c>
      <c r="F19" s="66">
        <v>4</v>
      </c>
      <c r="G19" s="66">
        <v>5</v>
      </c>
      <c r="H19" s="66">
        <v>6</v>
      </c>
      <c r="I19" s="67">
        <v>7</v>
      </c>
      <c r="J19" s="53">
        <v>0</v>
      </c>
      <c r="K19" s="54">
        <v>1</v>
      </c>
      <c r="L19" s="54">
        <v>2</v>
      </c>
      <c r="M19" s="54">
        <v>3</v>
      </c>
      <c r="N19" s="54">
        <v>4</v>
      </c>
      <c r="O19" s="54">
        <v>5</v>
      </c>
      <c r="P19" s="54">
        <v>6</v>
      </c>
      <c r="Q19" s="55">
        <v>7</v>
      </c>
    </row>
    <row r="20" spans="1:17" ht="40.049999999999997" customHeight="1" x14ac:dyDescent="0.3">
      <c r="A20" s="59">
        <v>0</v>
      </c>
      <c r="B20" s="1">
        <f t="array" ref="B20:Q35">TRANSPOSE(B2:Q17)</f>
        <v>0.35355339059327373</v>
      </c>
      <c r="C20" s="2">
        <v>0.49039264020161522</v>
      </c>
      <c r="D20" s="2">
        <v>0.46193976625564337</v>
      </c>
      <c r="E20" s="2">
        <v>0.41573480615127262</v>
      </c>
      <c r="F20" s="2">
        <v>0.35355339059327379</v>
      </c>
      <c r="G20" s="2">
        <v>0.27778511650980114</v>
      </c>
      <c r="H20" s="2">
        <v>0.19134171618254492</v>
      </c>
      <c r="I20" s="3">
        <v>9.7545161008064166E-2</v>
      </c>
      <c r="J20" s="50">
        <v>0.35355339059327373</v>
      </c>
      <c r="K20" s="43">
        <v>0.49039264020161522</v>
      </c>
      <c r="L20" s="43">
        <v>0.46193976625564337</v>
      </c>
      <c r="M20" s="43">
        <v>0.41573480615127262</v>
      </c>
      <c r="N20" s="43">
        <v>0.35355339059327379</v>
      </c>
      <c r="O20" s="43">
        <v>0.27778511650980114</v>
      </c>
      <c r="P20" s="43">
        <v>0.19134171618254492</v>
      </c>
      <c r="Q20" s="44">
        <v>9.7545161008064166E-2</v>
      </c>
    </row>
    <row r="21" spans="1:17" ht="40.049999999999997" customHeight="1" x14ac:dyDescent="0.3">
      <c r="A21" s="60">
        <v>1</v>
      </c>
      <c r="B21" s="7">
        <v>0.35355339059327373</v>
      </c>
      <c r="C21" s="8">
        <v>0.41573480615127262</v>
      </c>
      <c r="D21" s="8">
        <v>0.19134171618254492</v>
      </c>
      <c r="E21" s="8">
        <v>-9.7545161008064096E-2</v>
      </c>
      <c r="F21" s="8">
        <v>-0.35355339059327373</v>
      </c>
      <c r="G21" s="8">
        <v>-0.49039264020161522</v>
      </c>
      <c r="H21" s="8">
        <v>-0.46193976625564342</v>
      </c>
      <c r="I21" s="9">
        <v>-0.27778511650980109</v>
      </c>
      <c r="J21" s="47">
        <v>0.35355339059327373</v>
      </c>
      <c r="K21" s="45">
        <v>0.41573480615127262</v>
      </c>
      <c r="L21" s="45">
        <v>0.19134171618254492</v>
      </c>
      <c r="M21" s="45">
        <v>-9.7545161008064096E-2</v>
      </c>
      <c r="N21" s="45">
        <v>-0.35355339059327373</v>
      </c>
      <c r="O21" s="45">
        <v>-0.49039264020161522</v>
      </c>
      <c r="P21" s="45">
        <v>-0.46193976625564342</v>
      </c>
      <c r="Q21" s="46">
        <v>-0.27778511650980109</v>
      </c>
    </row>
    <row r="22" spans="1:17" ht="40.049999999999997" customHeight="1" x14ac:dyDescent="0.3">
      <c r="A22" s="60">
        <v>2</v>
      </c>
      <c r="B22" s="7">
        <v>0.35355339059327373</v>
      </c>
      <c r="C22" s="8">
        <v>0.27778511650980114</v>
      </c>
      <c r="D22" s="8">
        <v>-0.19134171618254486</v>
      </c>
      <c r="E22" s="8">
        <v>-0.49039264020161522</v>
      </c>
      <c r="F22" s="8">
        <v>-0.35355339059327384</v>
      </c>
      <c r="G22" s="8">
        <v>9.7545161008064152E-2</v>
      </c>
      <c r="H22" s="8">
        <v>0.46193976625564326</v>
      </c>
      <c r="I22" s="9">
        <v>0.41573480615127273</v>
      </c>
      <c r="J22" s="47">
        <v>0.35355339059327373</v>
      </c>
      <c r="K22" s="45">
        <v>0.27778511650980114</v>
      </c>
      <c r="L22" s="45">
        <v>-0.19134171618254486</v>
      </c>
      <c r="M22" s="45">
        <v>-0.49039264020161522</v>
      </c>
      <c r="N22" s="45">
        <v>-0.35355339059327384</v>
      </c>
      <c r="O22" s="45">
        <v>9.7545161008064152E-2</v>
      </c>
      <c r="P22" s="45">
        <v>0.46193976625564326</v>
      </c>
      <c r="Q22" s="46">
        <v>0.41573480615127273</v>
      </c>
    </row>
    <row r="23" spans="1:17" ht="40.049999999999997" customHeight="1" x14ac:dyDescent="0.3">
      <c r="A23" s="60">
        <v>3</v>
      </c>
      <c r="B23" s="7">
        <v>0.35355339059327373</v>
      </c>
      <c r="C23" s="8">
        <v>9.7545161008064166E-2</v>
      </c>
      <c r="D23" s="8">
        <v>-0.46193976625564337</v>
      </c>
      <c r="E23" s="8">
        <v>-0.27778511650980109</v>
      </c>
      <c r="F23" s="8">
        <v>0.35355339059327368</v>
      </c>
      <c r="G23" s="8">
        <v>0.41573480615127273</v>
      </c>
      <c r="H23" s="8">
        <v>-0.19134171618254495</v>
      </c>
      <c r="I23" s="9">
        <v>-0.49039264020161533</v>
      </c>
      <c r="J23" s="47">
        <v>0.35355339059327373</v>
      </c>
      <c r="K23" s="45">
        <v>9.7545161008064166E-2</v>
      </c>
      <c r="L23" s="45">
        <v>-0.46193976625564337</v>
      </c>
      <c r="M23" s="45">
        <v>-0.27778511650980109</v>
      </c>
      <c r="N23" s="45">
        <v>0.35355339059327368</v>
      </c>
      <c r="O23" s="45">
        <v>0.41573480615127273</v>
      </c>
      <c r="P23" s="45">
        <v>-0.19134171618254495</v>
      </c>
      <c r="Q23" s="46">
        <v>-0.49039264020161533</v>
      </c>
    </row>
    <row r="24" spans="1:17" ht="40.049999999999997" customHeight="1" x14ac:dyDescent="0.3">
      <c r="A24" s="60">
        <v>4</v>
      </c>
      <c r="B24" s="7">
        <v>0.35355339059327373</v>
      </c>
      <c r="C24" s="8">
        <v>-9.7545161008064096E-2</v>
      </c>
      <c r="D24" s="8">
        <v>-0.46193976625564342</v>
      </c>
      <c r="E24" s="8">
        <v>0.27778511650980092</v>
      </c>
      <c r="F24" s="8">
        <v>0.35355339059327384</v>
      </c>
      <c r="G24" s="8">
        <v>-0.41573480615127256</v>
      </c>
      <c r="H24" s="8">
        <v>-0.19134171618254528</v>
      </c>
      <c r="I24" s="9">
        <v>0.49039264020161522</v>
      </c>
      <c r="J24" s="47">
        <v>0.35355339059327373</v>
      </c>
      <c r="K24" s="45">
        <v>-9.7545161008064096E-2</v>
      </c>
      <c r="L24" s="45">
        <v>-0.46193976625564342</v>
      </c>
      <c r="M24" s="45">
        <v>0.27778511650980092</v>
      </c>
      <c r="N24" s="45">
        <v>0.35355339059327384</v>
      </c>
      <c r="O24" s="45">
        <v>-0.41573480615127256</v>
      </c>
      <c r="P24" s="45">
        <v>-0.19134171618254528</v>
      </c>
      <c r="Q24" s="46">
        <v>0.49039264020161522</v>
      </c>
    </row>
    <row r="25" spans="1:17" ht="40.049999999999997" customHeight="1" x14ac:dyDescent="0.3">
      <c r="A25" s="60">
        <v>5</v>
      </c>
      <c r="B25" s="7">
        <v>0.35355339059327373</v>
      </c>
      <c r="C25" s="8">
        <v>-0.27778511650980098</v>
      </c>
      <c r="D25" s="8">
        <v>-0.19134171618254517</v>
      </c>
      <c r="E25" s="8">
        <v>0.49039264020161522</v>
      </c>
      <c r="F25" s="8">
        <v>-0.35355339059327334</v>
      </c>
      <c r="G25" s="8">
        <v>-9.7545161008064013E-2</v>
      </c>
      <c r="H25" s="8">
        <v>0.46193976625564337</v>
      </c>
      <c r="I25" s="9">
        <v>-0.41573480615127251</v>
      </c>
      <c r="J25" s="47">
        <v>0.35355339059327373</v>
      </c>
      <c r="K25" s="45">
        <v>-0.27778511650980098</v>
      </c>
      <c r="L25" s="45">
        <v>-0.19134171618254517</v>
      </c>
      <c r="M25" s="45">
        <v>0.49039264020161522</v>
      </c>
      <c r="N25" s="45">
        <v>-0.35355339059327334</v>
      </c>
      <c r="O25" s="45">
        <v>-9.7545161008064013E-2</v>
      </c>
      <c r="P25" s="45">
        <v>0.46193976625564337</v>
      </c>
      <c r="Q25" s="46">
        <v>-0.41573480615127251</v>
      </c>
    </row>
    <row r="26" spans="1:17" ht="40.049999999999997" customHeight="1" x14ac:dyDescent="0.3">
      <c r="A26" s="60">
        <v>6</v>
      </c>
      <c r="B26" s="7">
        <v>0.35355339059327373</v>
      </c>
      <c r="C26" s="8">
        <v>-0.41573480615127267</v>
      </c>
      <c r="D26" s="8">
        <v>0.191341716182545</v>
      </c>
      <c r="E26" s="8">
        <v>9.7545161008064388E-2</v>
      </c>
      <c r="F26" s="8">
        <v>-0.35355339059327356</v>
      </c>
      <c r="G26" s="8">
        <v>0.49039264020161533</v>
      </c>
      <c r="H26" s="8">
        <v>-0.4619397662556432</v>
      </c>
      <c r="I26" s="9">
        <v>0.27778511650980076</v>
      </c>
      <c r="J26" s="47">
        <v>0.35355339059327373</v>
      </c>
      <c r="K26" s="45">
        <v>-0.41573480615127267</v>
      </c>
      <c r="L26" s="45">
        <v>0.191341716182545</v>
      </c>
      <c r="M26" s="45">
        <v>9.7545161008064388E-2</v>
      </c>
      <c r="N26" s="45">
        <v>-0.35355339059327356</v>
      </c>
      <c r="O26" s="45">
        <v>0.49039264020161533</v>
      </c>
      <c r="P26" s="45">
        <v>-0.4619397662556432</v>
      </c>
      <c r="Q26" s="46">
        <v>0.27778511650980076</v>
      </c>
    </row>
    <row r="27" spans="1:17" ht="40.049999999999997" customHeight="1" thickBot="1" x14ac:dyDescent="0.35">
      <c r="A27" s="61">
        <v>7</v>
      </c>
      <c r="B27" s="13">
        <v>0.35355339059327373</v>
      </c>
      <c r="C27" s="14">
        <v>-0.49039264020161522</v>
      </c>
      <c r="D27" s="14">
        <v>0.46193976625564326</v>
      </c>
      <c r="E27" s="14">
        <v>-0.41573480615127256</v>
      </c>
      <c r="F27" s="14">
        <v>0.35355339059327329</v>
      </c>
      <c r="G27" s="14">
        <v>-0.27778511650980076</v>
      </c>
      <c r="H27" s="14">
        <v>0.19134171618254478</v>
      </c>
      <c r="I27" s="15">
        <v>-9.7545161008064291E-2</v>
      </c>
      <c r="J27" s="48">
        <v>0.35355339059327373</v>
      </c>
      <c r="K27" s="49">
        <v>-0.49039264020161522</v>
      </c>
      <c r="L27" s="49">
        <v>0.46193976625564326</v>
      </c>
      <c r="M27" s="49">
        <v>-0.41573480615127256</v>
      </c>
      <c r="N27" s="49">
        <v>0.35355339059327329</v>
      </c>
      <c r="O27" s="49">
        <v>-0.27778511650980076</v>
      </c>
      <c r="P27" s="49">
        <v>0.19134171618254478</v>
      </c>
      <c r="Q27" s="51">
        <v>-9.7545161008064291E-2</v>
      </c>
    </row>
    <row r="28" spans="1:17" ht="40.049999999999997" customHeight="1" x14ac:dyDescent="0.3">
      <c r="A28" s="62">
        <v>0</v>
      </c>
      <c r="B28" s="50">
        <v>0.35355339059327373</v>
      </c>
      <c r="C28" s="43">
        <v>0.49039264020161522</v>
      </c>
      <c r="D28" s="43">
        <v>0.46193976625564337</v>
      </c>
      <c r="E28" s="43">
        <v>0.41573480615127262</v>
      </c>
      <c r="F28" s="43">
        <v>0.35355339059327379</v>
      </c>
      <c r="G28" s="43">
        <v>0.27778511650980114</v>
      </c>
      <c r="H28" s="43">
        <v>0.19134171618254492</v>
      </c>
      <c r="I28" s="44">
        <v>9.7545161008064166E-2</v>
      </c>
      <c r="J28" s="1">
        <v>0.35355339059327373</v>
      </c>
      <c r="K28" s="2">
        <v>0.49039264020161522</v>
      </c>
      <c r="L28" s="2">
        <v>0.46193976625564337</v>
      </c>
      <c r="M28" s="2">
        <v>0.41573480615127262</v>
      </c>
      <c r="N28" s="2">
        <v>0.35355339059327379</v>
      </c>
      <c r="O28" s="2">
        <v>0.27778511650980114</v>
      </c>
      <c r="P28" s="2">
        <v>0.19134171618254492</v>
      </c>
      <c r="Q28" s="3">
        <v>9.7545161008064166E-2</v>
      </c>
    </row>
    <row r="29" spans="1:17" ht="40.049999999999997" customHeight="1" x14ac:dyDescent="0.3">
      <c r="A29" s="63">
        <v>1</v>
      </c>
      <c r="B29" s="47">
        <v>0.35355339059327373</v>
      </c>
      <c r="C29" s="45">
        <v>0.41573480615127262</v>
      </c>
      <c r="D29" s="45">
        <v>0.19134171618254492</v>
      </c>
      <c r="E29" s="45">
        <v>-9.7545161008064096E-2</v>
      </c>
      <c r="F29" s="45">
        <v>-0.35355339059327373</v>
      </c>
      <c r="G29" s="45">
        <v>-0.49039264020161522</v>
      </c>
      <c r="H29" s="45">
        <v>-0.46193976625564342</v>
      </c>
      <c r="I29" s="46">
        <v>-0.27778511650980109</v>
      </c>
      <c r="J29" s="7">
        <v>0.35355339059327373</v>
      </c>
      <c r="K29" s="8">
        <v>0.41573480615127262</v>
      </c>
      <c r="L29" s="8">
        <v>0.19134171618254492</v>
      </c>
      <c r="M29" s="8">
        <v>-9.7545161008064096E-2</v>
      </c>
      <c r="N29" s="8">
        <v>-0.35355339059327373</v>
      </c>
      <c r="O29" s="8">
        <v>-0.49039264020161522</v>
      </c>
      <c r="P29" s="8">
        <v>-0.46193976625564342</v>
      </c>
      <c r="Q29" s="9">
        <v>-0.27778511650980109</v>
      </c>
    </row>
    <row r="30" spans="1:17" ht="40.049999999999997" customHeight="1" x14ac:dyDescent="0.3">
      <c r="A30" s="63">
        <v>2</v>
      </c>
      <c r="B30" s="47">
        <v>0.35355339059327373</v>
      </c>
      <c r="C30" s="45">
        <v>0.27778511650980114</v>
      </c>
      <c r="D30" s="45">
        <v>-0.19134171618254486</v>
      </c>
      <c r="E30" s="45">
        <v>-0.49039264020161522</v>
      </c>
      <c r="F30" s="45">
        <v>-0.35355339059327384</v>
      </c>
      <c r="G30" s="45">
        <v>9.7545161008064152E-2</v>
      </c>
      <c r="H30" s="45">
        <v>0.46193976625564326</v>
      </c>
      <c r="I30" s="46">
        <v>0.41573480615127273</v>
      </c>
      <c r="J30" s="7">
        <v>0.35355339059327373</v>
      </c>
      <c r="K30" s="8">
        <v>0.27778511650980114</v>
      </c>
      <c r="L30" s="8">
        <v>-0.19134171618254486</v>
      </c>
      <c r="M30" s="8">
        <v>-0.49039264020161522</v>
      </c>
      <c r="N30" s="8">
        <v>-0.35355339059327384</v>
      </c>
      <c r="O30" s="8">
        <v>9.7545161008064152E-2</v>
      </c>
      <c r="P30" s="8">
        <v>0.46193976625564326</v>
      </c>
      <c r="Q30" s="9">
        <v>0.41573480615127273</v>
      </c>
    </row>
    <row r="31" spans="1:17" ht="40.049999999999997" customHeight="1" x14ac:dyDescent="0.3">
      <c r="A31" s="63">
        <v>3</v>
      </c>
      <c r="B31" s="47">
        <v>0.35355339059327373</v>
      </c>
      <c r="C31" s="45">
        <v>9.7545161008064166E-2</v>
      </c>
      <c r="D31" s="45">
        <v>-0.46193976625564337</v>
      </c>
      <c r="E31" s="45">
        <v>-0.27778511650980109</v>
      </c>
      <c r="F31" s="45">
        <v>0.35355339059327368</v>
      </c>
      <c r="G31" s="45">
        <v>0.41573480615127273</v>
      </c>
      <c r="H31" s="45">
        <v>-0.19134171618254495</v>
      </c>
      <c r="I31" s="46">
        <v>-0.49039264020161533</v>
      </c>
      <c r="J31" s="7">
        <v>0.35355339059327373</v>
      </c>
      <c r="K31" s="8">
        <v>9.7545161008064166E-2</v>
      </c>
      <c r="L31" s="8">
        <v>-0.46193976625564337</v>
      </c>
      <c r="M31" s="8">
        <v>-0.27778511650980109</v>
      </c>
      <c r="N31" s="8">
        <v>0.35355339059327368</v>
      </c>
      <c r="O31" s="8">
        <v>0.41573480615127273</v>
      </c>
      <c r="P31" s="8">
        <v>-0.19134171618254495</v>
      </c>
      <c r="Q31" s="9">
        <v>-0.49039264020161533</v>
      </c>
    </row>
    <row r="32" spans="1:17" ht="40.049999999999997" customHeight="1" x14ac:dyDescent="0.3">
      <c r="A32" s="63">
        <v>4</v>
      </c>
      <c r="B32" s="47">
        <v>0.35355339059327373</v>
      </c>
      <c r="C32" s="45">
        <v>-9.7545161008064096E-2</v>
      </c>
      <c r="D32" s="45">
        <v>-0.46193976625564342</v>
      </c>
      <c r="E32" s="45">
        <v>0.27778511650980092</v>
      </c>
      <c r="F32" s="45">
        <v>0.35355339059327384</v>
      </c>
      <c r="G32" s="45">
        <v>-0.41573480615127256</v>
      </c>
      <c r="H32" s="45">
        <v>-0.19134171618254528</v>
      </c>
      <c r="I32" s="46">
        <v>0.49039264020161522</v>
      </c>
      <c r="J32" s="7">
        <v>0.35355339059327373</v>
      </c>
      <c r="K32" s="8">
        <v>-9.7545161008064096E-2</v>
      </c>
      <c r="L32" s="8">
        <v>-0.46193976625564342</v>
      </c>
      <c r="M32" s="8">
        <v>0.27778511650980092</v>
      </c>
      <c r="N32" s="8">
        <v>0.35355339059327384</v>
      </c>
      <c r="O32" s="8">
        <v>-0.41573480615127256</v>
      </c>
      <c r="P32" s="8">
        <v>-0.19134171618254528</v>
      </c>
      <c r="Q32" s="9">
        <v>0.49039264020161522</v>
      </c>
    </row>
    <row r="33" spans="1:17" ht="40.049999999999997" customHeight="1" x14ac:dyDescent="0.3">
      <c r="A33" s="63">
        <v>5</v>
      </c>
      <c r="B33" s="47">
        <v>0.35355339059327373</v>
      </c>
      <c r="C33" s="45">
        <v>-0.27778511650980098</v>
      </c>
      <c r="D33" s="45">
        <v>-0.19134171618254517</v>
      </c>
      <c r="E33" s="45">
        <v>0.49039264020161522</v>
      </c>
      <c r="F33" s="45">
        <v>-0.35355339059327334</v>
      </c>
      <c r="G33" s="45">
        <v>-9.7545161008064013E-2</v>
      </c>
      <c r="H33" s="45">
        <v>0.46193976625564337</v>
      </c>
      <c r="I33" s="46">
        <v>-0.41573480615127251</v>
      </c>
      <c r="J33" s="7">
        <v>0.35355339059327373</v>
      </c>
      <c r="K33" s="8">
        <v>-0.27778511650980098</v>
      </c>
      <c r="L33" s="8">
        <v>-0.19134171618254517</v>
      </c>
      <c r="M33" s="8">
        <v>0.49039264020161522</v>
      </c>
      <c r="N33" s="8">
        <v>-0.35355339059327334</v>
      </c>
      <c r="O33" s="8">
        <v>-9.7545161008064013E-2</v>
      </c>
      <c r="P33" s="8">
        <v>0.46193976625564337</v>
      </c>
      <c r="Q33" s="9">
        <v>-0.41573480615127251</v>
      </c>
    </row>
    <row r="34" spans="1:17" ht="40.049999999999997" customHeight="1" x14ac:dyDescent="0.3">
      <c r="A34" s="63">
        <v>6</v>
      </c>
      <c r="B34" s="47">
        <v>0.35355339059327373</v>
      </c>
      <c r="C34" s="45">
        <v>-0.41573480615127267</v>
      </c>
      <c r="D34" s="45">
        <v>0.191341716182545</v>
      </c>
      <c r="E34" s="45">
        <v>9.7545161008064388E-2</v>
      </c>
      <c r="F34" s="45">
        <v>-0.35355339059327356</v>
      </c>
      <c r="G34" s="45">
        <v>0.49039264020161533</v>
      </c>
      <c r="H34" s="45">
        <v>-0.4619397662556432</v>
      </c>
      <c r="I34" s="46">
        <v>0.27778511650980076</v>
      </c>
      <c r="J34" s="7">
        <v>0.35355339059327373</v>
      </c>
      <c r="K34" s="8">
        <v>-0.41573480615127267</v>
      </c>
      <c r="L34" s="8">
        <v>0.191341716182545</v>
      </c>
      <c r="M34" s="8">
        <v>9.7545161008064388E-2</v>
      </c>
      <c r="N34" s="8">
        <v>-0.35355339059327356</v>
      </c>
      <c r="O34" s="8">
        <v>0.49039264020161533</v>
      </c>
      <c r="P34" s="8">
        <v>-0.4619397662556432</v>
      </c>
      <c r="Q34" s="9">
        <v>0.27778511650980076</v>
      </c>
    </row>
    <row r="35" spans="1:17" ht="40.049999999999997" customHeight="1" thickBot="1" x14ac:dyDescent="0.35">
      <c r="A35" s="64">
        <v>7</v>
      </c>
      <c r="B35" s="48">
        <v>0.35355339059327373</v>
      </c>
      <c r="C35" s="49">
        <v>-0.49039264020161522</v>
      </c>
      <c r="D35" s="49">
        <v>0.46193976625564326</v>
      </c>
      <c r="E35" s="49">
        <v>-0.41573480615127256</v>
      </c>
      <c r="F35" s="49">
        <v>0.35355339059327329</v>
      </c>
      <c r="G35" s="49">
        <v>-0.27778511650980076</v>
      </c>
      <c r="H35" s="49">
        <v>0.19134171618254478</v>
      </c>
      <c r="I35" s="51">
        <v>-9.7545161008064291E-2</v>
      </c>
      <c r="J35" s="13">
        <v>0.35355339059327373</v>
      </c>
      <c r="K35" s="14">
        <v>-0.49039264020161522</v>
      </c>
      <c r="L35" s="14">
        <v>0.46193976625564326</v>
      </c>
      <c r="M35" s="14">
        <v>-0.41573480615127256</v>
      </c>
      <c r="N35" s="14">
        <v>0.35355339059327329</v>
      </c>
      <c r="O35" s="14">
        <v>-0.27778511650980076</v>
      </c>
      <c r="P35" s="14">
        <v>0.19134171618254478</v>
      </c>
      <c r="Q35" s="15">
        <v>-9.7545161008064291E-2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36A64-795D-4AAD-83D7-FFD9168333F5}">
  <dimension ref="B1:AH17"/>
  <sheetViews>
    <sheetView zoomScale="60" zoomScaleNormal="60" workbookViewId="0">
      <selection activeCell="AN11" sqref="AN11"/>
    </sheetView>
  </sheetViews>
  <sheetFormatPr defaultRowHeight="14.4" x14ac:dyDescent="0.3"/>
  <sheetData>
    <row r="1" spans="2:34" ht="16.8" thickBot="1" x14ac:dyDescent="0.35">
      <c r="B1" s="98" t="s">
        <v>2</v>
      </c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100"/>
      <c r="S1" s="98" t="s">
        <v>3</v>
      </c>
      <c r="T1" s="99"/>
      <c r="U1" s="99"/>
      <c r="V1" s="99"/>
      <c r="W1" s="99"/>
      <c r="X1" s="99"/>
      <c r="Y1" s="99"/>
      <c r="Z1" s="99"/>
      <c r="AA1" s="99"/>
      <c r="AB1" s="99"/>
      <c r="AC1" s="99"/>
      <c r="AD1" s="99"/>
      <c r="AE1" s="99"/>
      <c r="AF1" s="99"/>
      <c r="AG1" s="99"/>
      <c r="AH1" s="100"/>
    </row>
    <row r="2" spans="2:34" ht="40.049999999999997" customHeight="1" x14ac:dyDescent="0.3">
      <c r="B2" s="1">
        <f t="array" ref="B2:I9">MMULT('DCT матрица'!B2:I9,'YCbCr - якростный канал'!B2:I9)</f>
        <v>383.25187540310873</v>
      </c>
      <c r="C2" s="2">
        <v>509.47043584490746</v>
      </c>
      <c r="D2" s="2">
        <v>449.01280605345767</v>
      </c>
      <c r="E2" s="2">
        <v>468.45824253608765</v>
      </c>
      <c r="F2" s="2">
        <v>410.82903986938408</v>
      </c>
      <c r="G2" s="2">
        <v>385.01964235607511</v>
      </c>
      <c r="H2" s="2">
        <v>575.23136649525634</v>
      </c>
      <c r="I2" s="3">
        <v>366.28131265463156</v>
      </c>
      <c r="J2" s="68">
        <f t="array" ref="J2:Q9">MMULT('DCT матрица'!J2:Q9,'YCbCr - якростный канал'!J2:Q9)</f>
        <v>381.83766184073568</v>
      </c>
      <c r="K2" s="43">
        <v>416.83944750946978</v>
      </c>
      <c r="L2" s="43">
        <v>378.30212793480291</v>
      </c>
      <c r="M2" s="43">
        <v>368.049079607598</v>
      </c>
      <c r="N2" s="43">
        <v>360.97801179573241</v>
      </c>
      <c r="O2" s="43">
        <v>548.00775541957432</v>
      </c>
      <c r="P2" s="43">
        <v>442.29529163218541</v>
      </c>
      <c r="Q2" s="44">
        <v>331.27952698589746</v>
      </c>
      <c r="S2" s="1">
        <f t="array" ref="S2:Z9">MMULT(B2:I9,'DCT матрица'!B20:I27)</f>
        <v>1254.2499999999998</v>
      </c>
      <c r="T2" s="2">
        <v>4.3809296020810677</v>
      </c>
      <c r="U2" s="2">
        <v>-11.975071638247158</v>
      </c>
      <c r="V2" s="2">
        <v>-33.92039709470609</v>
      </c>
      <c r="W2" s="2">
        <v>-102.49999999999991</v>
      </c>
      <c r="X2" s="2">
        <v>67.163535009633833</v>
      </c>
      <c r="Y2" s="2">
        <v>-140.62151385637583</v>
      </c>
      <c r="Z2" s="3">
        <v>18.266052714496837</v>
      </c>
      <c r="AA2" s="50">
        <f t="array" ref="AA2:AH9">MMULT(J2:Q9,'DCT матрица'!J20:Q27)</f>
        <v>1141.125</v>
      </c>
      <c r="AB2" s="43">
        <v>-32.241492241659444</v>
      </c>
      <c r="AC2" s="43">
        <v>-20.202824055901971</v>
      </c>
      <c r="AD2" s="43">
        <v>104.76002413015365</v>
      </c>
      <c r="AE2" s="43">
        <v>-121.37499999999989</v>
      </c>
      <c r="AF2" s="43">
        <v>12.913382238140926</v>
      </c>
      <c r="AG2" s="43">
        <v>27.986642352491415</v>
      </c>
      <c r="AH2" s="44">
        <v>-62.017179728300569</v>
      </c>
    </row>
    <row r="3" spans="2:34" ht="40.049999999999997" customHeight="1" x14ac:dyDescent="0.3">
      <c r="B3" s="7">
        <v>7.8109486569416617</v>
      </c>
      <c r="C3" s="8">
        <v>-23.195791762554251</v>
      </c>
      <c r="D3" s="8">
        <v>116.94532037821432</v>
      </c>
      <c r="E3" s="8">
        <v>96.481113579522486</v>
      </c>
      <c r="F3" s="8">
        <v>171.86293981282722</v>
      </c>
      <c r="G3" s="8">
        <v>96.591749370883662</v>
      </c>
      <c r="H3" s="8">
        <v>-69.626060364358892</v>
      </c>
      <c r="I3" s="9">
        <v>156.63063021975651</v>
      </c>
      <c r="J3" s="69">
        <v>120.29173869495796</v>
      </c>
      <c r="K3" s="45">
        <v>43.718081503446598</v>
      </c>
      <c r="L3" s="45">
        <v>29.041309548518008</v>
      </c>
      <c r="M3" s="45">
        <v>100.96475598063552</v>
      </c>
      <c r="N3" s="45">
        <v>195.98460544732546</v>
      </c>
      <c r="O3" s="45">
        <v>-29.567551967020691</v>
      </c>
      <c r="P3" s="45">
        <v>-22.105573429729816</v>
      </c>
      <c r="Q3" s="46">
        <v>4.2445635899603928E-2</v>
      </c>
      <c r="S3" s="7">
        <v>195.69210217530394</v>
      </c>
      <c r="T3" s="8">
        <v>-55.376611122177373</v>
      </c>
      <c r="U3" s="8">
        <v>-106.61592667073323</v>
      </c>
      <c r="V3" s="8">
        <v>-55.439861533297481</v>
      </c>
      <c r="W3" s="8">
        <v>110.3335532022472</v>
      </c>
      <c r="X3" s="8">
        <v>-93.462411142219793</v>
      </c>
      <c r="Y3" s="8">
        <v>121.63849097229748</v>
      </c>
      <c r="Z3" s="9">
        <v>18.014103314641201</v>
      </c>
      <c r="AA3" s="47">
        <v>154.98713315916524</v>
      </c>
      <c r="AB3" s="45">
        <v>93.346495638832167</v>
      </c>
      <c r="AC3" s="45">
        <v>-77.349507112116584</v>
      </c>
      <c r="AD3" s="45">
        <v>41.224783138171588</v>
      </c>
      <c r="AE3" s="45">
        <v>140.07689172446234</v>
      </c>
      <c r="AF3" s="45">
        <v>-32.662019913293591</v>
      </c>
      <c r="AG3" s="45">
        <v>-44.020620317211822</v>
      </c>
      <c r="AH3" s="46">
        <v>64.407683530277765</v>
      </c>
    </row>
    <row r="4" spans="2:34" ht="40.049999999999997" customHeight="1" x14ac:dyDescent="0.3">
      <c r="B4" s="7">
        <v>4.7699446674759045</v>
      </c>
      <c r="C4" s="8">
        <v>8.4134029378058557</v>
      </c>
      <c r="D4" s="8">
        <v>-95.135694860077791</v>
      </c>
      <c r="E4" s="8">
        <v>-58.144385025634307</v>
      </c>
      <c r="F4" s="8">
        <v>18.871539231043002</v>
      </c>
      <c r="G4" s="8">
        <v>127.81006773348423</v>
      </c>
      <c r="H4" s="8">
        <v>69.778734487096955</v>
      </c>
      <c r="I4" s="9">
        <v>47.430215316366812</v>
      </c>
      <c r="J4" s="69">
        <v>-27.325736880111965</v>
      </c>
      <c r="K4" s="45">
        <v>-25.58443062315531</v>
      </c>
      <c r="L4" s="45">
        <v>35.899985574334366</v>
      </c>
      <c r="M4" s="45">
        <v>61.759680424833775</v>
      </c>
      <c r="N4" s="45">
        <v>-26.573968252469417</v>
      </c>
      <c r="O4" s="45">
        <v>-10.433272907697301</v>
      </c>
      <c r="P4" s="45">
        <v>-0.23776900167169401</v>
      </c>
      <c r="Q4" s="46">
        <v>-1.1616485341829872</v>
      </c>
      <c r="S4" s="7">
        <v>43.767726382085712</v>
      </c>
      <c r="T4" s="8">
        <v>-115.87553234049973</v>
      </c>
      <c r="U4" s="8">
        <v>50.964466094067205</v>
      </c>
      <c r="V4" s="8">
        <v>118.97537043048189</v>
      </c>
      <c r="W4" s="8">
        <v>-34.626734856336896</v>
      </c>
      <c r="X4" s="8">
        <v>-35.522761946902925</v>
      </c>
      <c r="Y4" s="8">
        <v>-3.5238636073762226</v>
      </c>
      <c r="Z4" s="9">
        <v>-42.033198155293825</v>
      </c>
      <c r="AA4" s="47">
        <v>2.2425325172373438</v>
      </c>
      <c r="AB4" s="45">
        <v>-1.8809562298506064</v>
      </c>
      <c r="AC4" s="45">
        <v>-39.22684431493893</v>
      </c>
      <c r="AD4" s="45">
        <v>-55.664139853442904</v>
      </c>
      <c r="AE4" s="45">
        <v>2.4938997559968175</v>
      </c>
      <c r="AF4" s="45">
        <v>46.404779451460996</v>
      </c>
      <c r="AG4" s="45">
        <v>11.509068388535059</v>
      </c>
      <c r="AH4" s="46">
        <v>-19.567077818794917</v>
      </c>
    </row>
    <row r="5" spans="2:34" ht="40.049999999999997" customHeight="1" x14ac:dyDescent="0.3">
      <c r="B5" s="7">
        <v>-18.30473897616379</v>
      </c>
      <c r="C5" s="8">
        <v>-6.0408309589160325</v>
      </c>
      <c r="D5" s="8">
        <v>40.521479636358734</v>
      </c>
      <c r="E5" s="8">
        <v>-32.712355590954516</v>
      </c>
      <c r="F5" s="8">
        <v>-109.21661505329965</v>
      </c>
      <c r="G5" s="8">
        <v>52.351381909874597</v>
      </c>
      <c r="H5" s="8">
        <v>94.724859658481222</v>
      </c>
      <c r="I5" s="9">
        <v>-91.774313449291682</v>
      </c>
      <c r="J5" s="69">
        <v>77.768327740292378</v>
      </c>
      <c r="K5" s="45">
        <v>137.12383373059089</v>
      </c>
      <c r="L5" s="45">
        <v>170.08128140480241</v>
      </c>
      <c r="M5" s="45">
        <v>88.00425211836567</v>
      </c>
      <c r="N5" s="45">
        <v>-76.265564801381771</v>
      </c>
      <c r="O5" s="45">
        <v>3.7887529776835152</v>
      </c>
      <c r="P5" s="45">
        <v>10.634532013787037</v>
      </c>
      <c r="Q5" s="46">
        <v>-2.6639449968047231</v>
      </c>
      <c r="S5" s="7">
        <v>-24.908236881030859</v>
      </c>
      <c r="T5" s="8">
        <v>-1.686416729447366</v>
      </c>
      <c r="U5" s="8">
        <v>13.911245311569935</v>
      </c>
      <c r="V5" s="8">
        <v>24.922617197958083</v>
      </c>
      <c r="W5" s="8">
        <v>-153.28834514497669</v>
      </c>
      <c r="X5" s="8">
        <v>100.47504112389282</v>
      </c>
      <c r="Y5" s="8">
        <v>8.0292064783325507</v>
      </c>
      <c r="Z5" s="9">
        <v>-7.2774173333579633</v>
      </c>
      <c r="AA5" s="47">
        <v>144.41647324535177</v>
      </c>
      <c r="AB5" s="45">
        <v>154.24671503844536</v>
      </c>
      <c r="AC5" s="45">
        <v>24.274883044339923</v>
      </c>
      <c r="AD5" s="45">
        <v>-106.08026628037257</v>
      </c>
      <c r="AE5" s="45">
        <v>-83.009149506533916</v>
      </c>
      <c r="AF5" s="45">
        <v>44.827177580758132</v>
      </c>
      <c r="AG5" s="45">
        <v>24.186519017240094</v>
      </c>
      <c r="AH5" s="46">
        <v>-38.714183574918714</v>
      </c>
    </row>
    <row r="6" spans="2:34" ht="40.049999999999997" customHeight="1" x14ac:dyDescent="0.3">
      <c r="B6" s="7">
        <v>6.3639610306789223</v>
      </c>
      <c r="C6" s="8">
        <v>-7.4246212024587379</v>
      </c>
      <c r="D6" s="8">
        <v>-1.4142135623730354</v>
      </c>
      <c r="E6" s="8">
        <v>78.842406102300032</v>
      </c>
      <c r="F6" s="8">
        <v>13.435028842544359</v>
      </c>
      <c r="G6" s="8">
        <v>-100.05560953789643</v>
      </c>
      <c r="H6" s="8">
        <v>61.1647365726364</v>
      </c>
      <c r="I6" s="9">
        <v>128.69343417595155</v>
      </c>
      <c r="J6" s="69">
        <v>-28.991378028648381</v>
      </c>
      <c r="K6" s="45">
        <v>-57.629202666703492</v>
      </c>
      <c r="L6" s="45">
        <v>-82.731493398825947</v>
      </c>
      <c r="M6" s="45">
        <v>-170.76628765655113</v>
      </c>
      <c r="N6" s="45">
        <v>16.617009357883841</v>
      </c>
      <c r="O6" s="45">
        <v>4.242640687119291</v>
      </c>
      <c r="P6" s="45">
        <v>-18.73832970144349</v>
      </c>
      <c r="Q6" s="46">
        <v>-3.8890872965260002</v>
      </c>
      <c r="S6" s="7">
        <v>63.5</v>
      </c>
      <c r="T6" s="8">
        <v>-54.723171849184048</v>
      </c>
      <c r="U6" s="8">
        <v>49.459900839277736</v>
      </c>
      <c r="V6" s="8">
        <v>-110.70827037533746</v>
      </c>
      <c r="W6" s="8">
        <v>97.249999999999801</v>
      </c>
      <c r="X6" s="8">
        <v>36.468523457260318</v>
      </c>
      <c r="Y6" s="8">
        <v>-63.512051682879921</v>
      </c>
      <c r="Z6" s="9">
        <v>16.053819798200369</v>
      </c>
      <c r="AA6" s="47">
        <v>-120.87499999999986</v>
      </c>
      <c r="AB6" s="45">
        <v>-70.916722008398509</v>
      </c>
      <c r="AC6" s="45">
        <v>56.424784194184284</v>
      </c>
      <c r="AD6" s="45">
        <v>88.061486730470122</v>
      </c>
      <c r="AE6" s="45">
        <v>-11.37500000000002</v>
      </c>
      <c r="AF6" s="45">
        <v>-74.286909455739021</v>
      </c>
      <c r="AG6" s="45">
        <v>22.223860570110915</v>
      </c>
      <c r="AH6" s="46">
        <v>64.087913664883487</v>
      </c>
    </row>
    <row r="7" spans="2:34" ht="40.049999999999997" customHeight="1" x14ac:dyDescent="0.3">
      <c r="B7" s="7">
        <v>-2.4508894667378769</v>
      </c>
      <c r="C7" s="8">
        <v>4.9963362642977174</v>
      </c>
      <c r="D7" s="8">
        <v>-29.186192759002502</v>
      </c>
      <c r="E7" s="8">
        <v>-52.083369447510606</v>
      </c>
      <c r="F7" s="8">
        <v>36.337314368973736</v>
      </c>
      <c r="G7" s="8">
        <v>-44.326642254938086</v>
      </c>
      <c r="H7" s="8">
        <v>-61.589739825686877</v>
      </c>
      <c r="I7" s="9">
        <v>4.2530284168573047</v>
      </c>
      <c r="J7" s="69">
        <v>16.879672485331881</v>
      </c>
      <c r="K7" s="45">
        <v>-6.4128124953868433</v>
      </c>
      <c r="L7" s="45">
        <v>-91.073295416083326</v>
      </c>
      <c r="M7" s="45">
        <v>-30.175742841280275</v>
      </c>
      <c r="N7" s="45">
        <v>28.594633705844146</v>
      </c>
      <c r="O7" s="45">
        <v>-4.4052705283571143</v>
      </c>
      <c r="P7" s="45">
        <v>8.7034528341453949</v>
      </c>
      <c r="Q7" s="46">
        <v>-4.3312814237585933</v>
      </c>
      <c r="S7" s="7">
        <v>-50.929420610995436</v>
      </c>
      <c r="T7" s="8">
        <v>19.975379132929696</v>
      </c>
      <c r="U7" s="8">
        <v>11.343601698770291</v>
      </c>
      <c r="V7" s="8">
        <v>7.854983438804048</v>
      </c>
      <c r="W7" s="8">
        <v>41.06958296029498</v>
      </c>
      <c r="X7" s="8">
        <v>-69.798248527193422</v>
      </c>
      <c r="Y7" s="8">
        <v>-4.4580566490226214</v>
      </c>
      <c r="Z7" s="9">
        <v>30.50470876750693</v>
      </c>
      <c r="AA7" s="47">
        <v>-29.069387349664456</v>
      </c>
      <c r="AB7" s="45">
        <v>-25.690515181735826</v>
      </c>
      <c r="AC7" s="45">
        <v>25.234305738348141</v>
      </c>
      <c r="AD7" s="45">
        <v>69.119547789308314</v>
      </c>
      <c r="AE7" s="45">
        <v>36.824426770820715</v>
      </c>
      <c r="AF7" s="45">
        <v>-19.581944975322063</v>
      </c>
      <c r="AG7" s="45">
        <v>-42.459921480963331</v>
      </c>
      <c r="AH7" s="46">
        <v>-0.94225496567107392</v>
      </c>
    </row>
    <row r="8" spans="2:34" ht="40.049999999999997" customHeight="1" x14ac:dyDescent="0.3">
      <c r="B8" s="7">
        <v>-18.048479932371592</v>
      </c>
      <c r="C8" s="8">
        <v>-4.6329958996441931</v>
      </c>
      <c r="D8" s="8">
        <v>27.160625241149564</v>
      </c>
      <c r="E8" s="8">
        <v>-13.80146695068321</v>
      </c>
      <c r="F8" s="8">
        <v>-24.654918516417965</v>
      </c>
      <c r="G8" s="8">
        <v>19.386505253968842</v>
      </c>
      <c r="H8" s="8">
        <v>-87.453863341645629</v>
      </c>
      <c r="I8" s="9">
        <v>-51.791646768982829</v>
      </c>
      <c r="J8" s="69">
        <v>9.7879570881206046</v>
      </c>
      <c r="K8" s="45">
        <v>-3.5618688478039484</v>
      </c>
      <c r="L8" s="45">
        <v>25.694182916811677</v>
      </c>
      <c r="M8" s="45">
        <v>105.67872006143142</v>
      </c>
      <c r="N8" s="45">
        <v>1.4402122471175769</v>
      </c>
      <c r="O8" s="45">
        <v>-4.8627992384542793</v>
      </c>
      <c r="P8" s="45">
        <v>-3.345663746081577</v>
      </c>
      <c r="Q8" s="46">
        <v>-3.72834717844664</v>
      </c>
      <c r="S8" s="7">
        <v>-54.389324571490079</v>
      </c>
      <c r="T8" s="8">
        <v>54.197154451923083</v>
      </c>
      <c r="U8" s="8">
        <v>-41.023863607376214</v>
      </c>
      <c r="V8" s="8">
        <v>-0.87786445918777645</v>
      </c>
      <c r="W8" s="8">
        <v>-22.187873561676312</v>
      </c>
      <c r="X8" s="8">
        <v>-25.970908948954879</v>
      </c>
      <c r="Y8" s="8">
        <v>58.035533905932759</v>
      </c>
      <c r="Z8" s="9">
        <v>-21.805402172573615</v>
      </c>
      <c r="AA8" s="47">
        <v>44.937482104687561</v>
      </c>
      <c r="AB8" s="45">
        <v>25.194649025172868</v>
      </c>
      <c r="AC8" s="45">
        <v>-51.990931611464916</v>
      </c>
      <c r="AD8" s="45">
        <v>-38.300537298120275</v>
      </c>
      <c r="AE8" s="45">
        <v>35.091832582625834</v>
      </c>
      <c r="AF8" s="45">
        <v>50.176915130066654</v>
      </c>
      <c r="AG8" s="45">
        <v>-6.5231556850610986</v>
      </c>
      <c r="AH8" s="46">
        <v>-37.035687369562439</v>
      </c>
    </row>
    <row r="9" spans="2:34" ht="40.049999999999997" customHeight="1" thickBot="1" x14ac:dyDescent="0.35">
      <c r="B9" s="13">
        <v>9.8447322419130785</v>
      </c>
      <c r="C9" s="14">
        <v>-1.5158102988717559E-2</v>
      </c>
      <c r="D9" s="14">
        <v>-16.277834068183928</v>
      </c>
      <c r="E9" s="14">
        <v>28.233298445989973</v>
      </c>
      <c r="F9" s="14">
        <v>20.819714206546674</v>
      </c>
      <c r="G9" s="14">
        <v>17.234139143037726</v>
      </c>
      <c r="H9" s="14">
        <v>-26.93727211548844</v>
      </c>
      <c r="I9" s="15">
        <v>-100.85748766035398</v>
      </c>
      <c r="J9" s="70">
        <v>-112.87188072770992</v>
      </c>
      <c r="K9" s="71">
        <v>-63.19936240645378</v>
      </c>
      <c r="L9" s="71">
        <v>-6.6794399063379606</v>
      </c>
      <c r="M9" s="71">
        <v>-22.722108239218919</v>
      </c>
      <c r="N9" s="71">
        <v>-29.179530092360906</v>
      </c>
      <c r="O9" s="71">
        <v>-3.6053866815653279</v>
      </c>
      <c r="P9" s="71">
        <v>1.6154082147775028E-2</v>
      </c>
      <c r="Q9" s="72">
        <v>-2.1544365040991664</v>
      </c>
      <c r="S9" s="13">
        <v>-24.026027510122134</v>
      </c>
      <c r="T9" s="14">
        <v>56.894045629552373</v>
      </c>
      <c r="U9" s="14">
        <v>-70.042053470634841</v>
      </c>
      <c r="V9" s="14">
        <v>57.771285645265593</v>
      </c>
      <c r="W9" s="14">
        <v>-5.6439911364918913</v>
      </c>
      <c r="X9" s="14">
        <v>17.36217666713075</v>
      </c>
      <c r="Y9" s="14">
        <v>-13.908269783235221</v>
      </c>
      <c r="Z9" s="15">
        <v>-14.247757548587158</v>
      </c>
      <c r="AA9" s="48">
        <v>-84.992817517676087</v>
      </c>
      <c r="AB9" s="49">
        <v>-80.799946261171968</v>
      </c>
      <c r="AC9" s="49">
        <v>-39.281466560857133</v>
      </c>
      <c r="AD9" s="49">
        <v>-40.149010082590024</v>
      </c>
      <c r="AE9" s="49">
        <v>-33.043071830802887</v>
      </c>
      <c r="AF9" s="49">
        <v>2.6294818948260987</v>
      </c>
      <c r="AG9" s="49">
        <v>12.357481700373734</v>
      </c>
      <c r="AH9" s="51">
        <v>2.3157156168625126</v>
      </c>
    </row>
    <row r="10" spans="2:34" ht="40.049999999999997" customHeight="1" x14ac:dyDescent="0.3">
      <c r="B10" s="73">
        <f t="array" ref="B10:I17">MMULT('DCT матрица'!B10:I17,'YCbCr - якростный канал'!B10:I17)</f>
        <v>394.56558390209346</v>
      </c>
      <c r="C10" s="74">
        <v>515.12729009439977</v>
      </c>
      <c r="D10" s="74">
        <v>385.37319574666839</v>
      </c>
      <c r="E10" s="74">
        <v>420.72853480599576</v>
      </c>
      <c r="F10" s="74">
        <v>263.04372260139564</v>
      </c>
      <c r="G10" s="74">
        <v>273.65032431919383</v>
      </c>
      <c r="H10" s="74">
        <v>529.26942571813083</v>
      </c>
      <c r="I10" s="75">
        <v>419.66787463421588</v>
      </c>
      <c r="J10" s="1">
        <f t="array" ref="J10:Q17">MMULT('DCT матрица'!J10:Q17,'YCbCr - якростный канал'!J10:Q17)</f>
        <v>381.13055505954901</v>
      </c>
      <c r="K10" s="2">
        <v>394.91913729268674</v>
      </c>
      <c r="L10" s="2">
        <v>509.11688245431418</v>
      </c>
      <c r="M10" s="2">
        <v>307.5914498161481</v>
      </c>
      <c r="N10" s="2">
        <v>261.62950903902254</v>
      </c>
      <c r="O10" s="2">
        <v>546.59354185720122</v>
      </c>
      <c r="P10" s="2">
        <v>430.98158313320067</v>
      </c>
      <c r="Q10" s="3">
        <v>331.27952698589746</v>
      </c>
      <c r="S10" s="50">
        <f t="array" ref="S10:Z17">MMULT(B10:I17,'DCT матрица'!B28:I35)</f>
        <v>1131.8749999999998</v>
      </c>
      <c r="T10" s="43">
        <v>28.226984611983653</v>
      </c>
      <c r="U10" s="43">
        <v>134.00318539984212</v>
      </c>
      <c r="V10" s="43">
        <v>-107.64696689536271</v>
      </c>
      <c r="W10" s="43">
        <v>-72.624999999999943</v>
      </c>
      <c r="X10" s="43">
        <v>76.415246787481081</v>
      </c>
      <c r="Y10" s="43">
        <v>-153.0565338451631</v>
      </c>
      <c r="Z10" s="44">
        <v>-29.400517280345802</v>
      </c>
      <c r="AA10" s="1">
        <f t="array" ref="AA10:AH17">MMULT(J10:Q17,'DCT матрица'!J28:Q35)</f>
        <v>1118.3749999999998</v>
      </c>
      <c r="AB10" s="2">
        <v>3.527070057674905</v>
      </c>
      <c r="AC10" s="2">
        <v>22.172566959987876</v>
      </c>
      <c r="AD10" s="2">
        <v>29.853259455226919</v>
      </c>
      <c r="AE10" s="2">
        <v>-212.12499999999994</v>
      </c>
      <c r="AF10" s="2">
        <v>46.984943433245903</v>
      </c>
      <c r="AG10" s="2">
        <v>133.55629346610675</v>
      </c>
      <c r="AH10" s="3">
        <v>-23.239411939244071</v>
      </c>
    </row>
    <row r="11" spans="2:34" ht="40.049999999999997" customHeight="1" x14ac:dyDescent="0.3">
      <c r="B11" s="47">
        <v>1.2161247610134893</v>
      </c>
      <c r="C11" s="45">
        <v>21.905058423729301</v>
      </c>
      <c r="D11" s="45">
        <v>-163.60523054625114</v>
      </c>
      <c r="E11" s="45">
        <v>-95.23965487775385</v>
      </c>
      <c r="F11" s="45">
        <v>-57.864561718039255</v>
      </c>
      <c r="G11" s="45">
        <v>-15.629734974563505</v>
      </c>
      <c r="H11" s="45">
        <v>99.495940220387567</v>
      </c>
      <c r="I11" s="76">
        <v>175.76148169401824</v>
      </c>
      <c r="J11" s="7">
        <v>170.43920060806917</v>
      </c>
      <c r="K11" s="8">
        <v>151.32540273402248</v>
      </c>
      <c r="L11" s="8">
        <v>142.75385346981847</v>
      </c>
      <c r="M11" s="8">
        <v>71.725016342191807</v>
      </c>
      <c r="N11" s="8">
        <v>-125.81853605810072</v>
      </c>
      <c r="O11" s="8">
        <v>11.833313046907051</v>
      </c>
      <c r="P11" s="8">
        <v>4.7888640393324238</v>
      </c>
      <c r="Q11" s="9">
        <v>-4.244563589953998E-2</v>
      </c>
      <c r="S11" s="47">
        <v>-12.0068771510267</v>
      </c>
      <c r="T11" s="45">
        <v>-162.60413838208211</v>
      </c>
      <c r="U11" s="45">
        <v>210.00212151484669</v>
      </c>
      <c r="V11" s="45">
        <v>17.952373494943629</v>
      </c>
      <c r="W11" s="45">
        <v>28.887913010404425</v>
      </c>
      <c r="X11" s="45">
        <v>-40.408525582472862</v>
      </c>
      <c r="Y11" s="45">
        <v>-75.717284511180466</v>
      </c>
      <c r="Z11" s="46">
        <v>-38.662556159517393</v>
      </c>
      <c r="AA11" s="7">
        <v>150.96894836371592</v>
      </c>
      <c r="AB11" s="8">
        <v>200.16047931570907</v>
      </c>
      <c r="AC11" s="8">
        <v>103.99318299996246</v>
      </c>
      <c r="AD11" s="8">
        <v>-62.495904300840841</v>
      </c>
      <c r="AE11" s="8">
        <v>-68.730142040079656</v>
      </c>
      <c r="AF11" s="8">
        <v>70.393219526553409</v>
      </c>
      <c r="AG11" s="8">
        <v>42.248926089511585</v>
      </c>
      <c r="AH11" s="9">
        <v>-66.521688564906327</v>
      </c>
    </row>
    <row r="12" spans="2:34" ht="40.049999999999997" customHeight="1" x14ac:dyDescent="0.3">
      <c r="B12" s="47">
        <v>-0.97030681800045926</v>
      </c>
      <c r="C12" s="45">
        <v>-7.5359506907837641</v>
      </c>
      <c r="D12" s="45">
        <v>-30.785819097120978</v>
      </c>
      <c r="E12" s="45">
        <v>52.100706441683322</v>
      </c>
      <c r="F12" s="45">
        <v>86.265018333287202</v>
      </c>
      <c r="G12" s="45">
        <v>47.659052258221791</v>
      </c>
      <c r="H12" s="45">
        <v>-31.915604979857576</v>
      </c>
      <c r="I12" s="76">
        <v>104.17984898341749</v>
      </c>
      <c r="J12" s="7">
        <v>154.99885584576435</v>
      </c>
      <c r="K12" s="8">
        <v>99.7461604628175</v>
      </c>
      <c r="L12" s="8">
        <v>11.542861582164946</v>
      </c>
      <c r="M12" s="8">
        <v>122.86004649827791</v>
      </c>
      <c r="N12" s="8">
        <v>20.379742663598975</v>
      </c>
      <c r="O12" s="8">
        <v>-34.446175090129159</v>
      </c>
      <c r="P12" s="8">
        <v>0.798195913131579</v>
      </c>
      <c r="Q12" s="9">
        <v>-1.1616485341829872</v>
      </c>
      <c r="S12" s="47">
        <v>77.427112233092714</v>
      </c>
      <c r="T12" s="45">
        <v>-66.552772704401846</v>
      </c>
      <c r="U12" s="45">
        <v>-27.017320535782879</v>
      </c>
      <c r="V12" s="45">
        <v>1.8664279916816966</v>
      </c>
      <c r="W12" s="45">
        <v>93.392397187405663</v>
      </c>
      <c r="X12" s="45">
        <v>-63.019962502503454</v>
      </c>
      <c r="Y12" s="45">
        <v>19.291815472394482</v>
      </c>
      <c r="Z12" s="46">
        <v>-32.88753026211127</v>
      </c>
      <c r="AA12" s="7">
        <v>132.48283332563096</v>
      </c>
      <c r="AB12" s="8">
        <v>140.48760254712079</v>
      </c>
      <c r="AC12" s="8">
        <v>28.516057877312029</v>
      </c>
      <c r="AD12" s="8">
        <v>4.2492736287317179</v>
      </c>
      <c r="AE12" s="8">
        <v>77.582325415283407</v>
      </c>
      <c r="AF12" s="8">
        <v>41.94634756115515</v>
      </c>
      <c r="AG12" s="8">
        <v>-54.997659595110242</v>
      </c>
      <c r="AH12" s="9">
        <v>-43.38991383811166</v>
      </c>
    </row>
    <row r="13" spans="2:34" ht="40.049999999999997" customHeight="1" x14ac:dyDescent="0.3">
      <c r="B13" s="47">
        <v>3.0050219689057158</v>
      </c>
      <c r="C13" s="45">
        <v>-6.6601581029190555</v>
      </c>
      <c r="D13" s="45">
        <v>61.753510245112977</v>
      </c>
      <c r="E13" s="45">
        <v>64.328165980907613</v>
      </c>
      <c r="F13" s="45">
        <v>-63.592667232425754</v>
      </c>
      <c r="G13" s="45">
        <v>-87.074156854389798</v>
      </c>
      <c r="H13" s="45">
        <v>30.32593269753697</v>
      </c>
      <c r="I13" s="76">
        <v>-79.613378902146309</v>
      </c>
      <c r="J13" s="7">
        <v>-112.13345448954888</v>
      </c>
      <c r="K13" s="8">
        <v>-95.605162753601405</v>
      </c>
      <c r="L13" s="8">
        <v>-25.398106414943804</v>
      </c>
      <c r="M13" s="8">
        <v>-46.555576333414926</v>
      </c>
      <c r="N13" s="8">
        <v>-2.8731011469148484</v>
      </c>
      <c r="O13" s="8">
        <v>4.1647228391015005</v>
      </c>
      <c r="P13" s="8">
        <v>2.9734354986500549</v>
      </c>
      <c r="Q13" s="9">
        <v>2.6639449968047657</v>
      </c>
      <c r="S13" s="47">
        <v>-27.41019187700465</v>
      </c>
      <c r="T13" s="45">
        <v>78.959219560367245</v>
      </c>
      <c r="U13" s="45">
        <v>-26.355056712130814</v>
      </c>
      <c r="V13" s="45">
        <v>-70.56333710932455</v>
      </c>
      <c r="W13" s="45">
        <v>-26.240020653443505</v>
      </c>
      <c r="X13" s="45">
        <v>108.7864303785209</v>
      </c>
      <c r="Y13" s="45">
        <v>-37.427882042943445</v>
      </c>
      <c r="Z13" s="46">
        <v>17.474616952723203</v>
      </c>
      <c r="AA13" s="7">
        <v>-96.436388767960224</v>
      </c>
      <c r="AB13" s="8">
        <v>-109.75148230144872</v>
      </c>
      <c r="AC13" s="8">
        <v>-41.396729517760924</v>
      </c>
      <c r="AD13" s="8">
        <v>-11.477674034825057</v>
      </c>
      <c r="AE13" s="8">
        <v>-15.921596758948235</v>
      </c>
      <c r="AF13" s="8">
        <v>-4.5908262203501558</v>
      </c>
      <c r="AG13" s="8">
        <v>21.493418351884493</v>
      </c>
      <c r="AH13" s="9">
        <v>25.317003832706739</v>
      </c>
    </row>
    <row r="14" spans="2:34" ht="40.049999999999997" customHeight="1" x14ac:dyDescent="0.3">
      <c r="B14" s="47">
        <v>-4.9497474683058087</v>
      </c>
      <c r="C14" s="45">
        <v>-1.0606601717798014</v>
      </c>
      <c r="D14" s="45">
        <v>25.455844122715746</v>
      </c>
      <c r="E14" s="45">
        <v>-66.468037431535436</v>
      </c>
      <c r="F14" s="45">
        <v>2.8284271247461419</v>
      </c>
      <c r="G14" s="45">
        <v>102.5304832720493</v>
      </c>
      <c r="H14" s="45">
        <v>84.499260351792429</v>
      </c>
      <c r="I14" s="76">
        <v>51.265241636024612</v>
      </c>
      <c r="J14" s="7">
        <v>-37.476659402887087</v>
      </c>
      <c r="K14" s="8">
        <v>-45.608387386532364</v>
      </c>
      <c r="L14" s="8">
        <v>50.204581464244868</v>
      </c>
      <c r="M14" s="8">
        <v>57.275649276110279</v>
      </c>
      <c r="N14" s="8">
        <v>29.69848480983498</v>
      </c>
      <c r="O14" s="8">
        <v>13.435028842544419</v>
      </c>
      <c r="P14" s="8">
        <v>-6.7175144212721847</v>
      </c>
      <c r="Q14" s="9">
        <v>-3.8890872965259859</v>
      </c>
      <c r="S14" s="47">
        <v>68.624999999999957</v>
      </c>
      <c r="T14" s="45">
        <v>-91.307376307443803</v>
      </c>
      <c r="U14" s="45">
        <v>42.268796682266512</v>
      </c>
      <c r="V14" s="45">
        <v>42.021790890736767</v>
      </c>
      <c r="W14" s="45">
        <v>-80.874999999999972</v>
      </c>
      <c r="X14" s="45">
        <v>-9.9849423216830893</v>
      </c>
      <c r="Y14" s="45">
        <v>41.617365089986308</v>
      </c>
      <c r="Z14" s="46">
        <v>20.223638372426432</v>
      </c>
      <c r="AA14" s="7">
        <v>20.124999999999947</v>
      </c>
      <c r="AB14" s="8">
        <v>-19.73533428942574</v>
      </c>
      <c r="AC14" s="8">
        <v>-81.474334637259659</v>
      </c>
      <c r="AD14" s="8">
        <v>-35.861950147051587</v>
      </c>
      <c r="AE14" s="8">
        <v>12.124999999999961</v>
      </c>
      <c r="AF14" s="8">
        <v>24.79314929659969</v>
      </c>
      <c r="AG14" s="8">
        <v>29.012308515797756</v>
      </c>
      <c r="AH14" s="9">
        <v>9.2897448883984612</v>
      </c>
    </row>
    <row r="15" spans="2:34" ht="40.049999999999997" customHeight="1" x14ac:dyDescent="0.3">
      <c r="B15" s="47">
        <v>4.9843968177864753</v>
      </c>
      <c r="C15" s="45">
        <v>9.7757529743643303</v>
      </c>
      <c r="D15" s="45">
        <v>-14.177044869280749</v>
      </c>
      <c r="E15" s="45">
        <v>-53.433639748791393</v>
      </c>
      <c r="F15" s="45">
        <v>-37.096859731290685</v>
      </c>
      <c r="G15" s="45">
        <v>-41.756132575838684</v>
      </c>
      <c r="H15" s="45">
        <v>-94.962805053576957</v>
      </c>
      <c r="I15" s="76">
        <v>-62.485067133061683</v>
      </c>
      <c r="J15" s="7">
        <v>-16.406077851460459</v>
      </c>
      <c r="K15" s="8">
        <v>-52.450589796600767</v>
      </c>
      <c r="L15" s="8">
        <v>-95.10471879185738</v>
      </c>
      <c r="M15" s="8">
        <v>-37.145924775961767</v>
      </c>
      <c r="N15" s="8">
        <v>-15.003421586959256</v>
      </c>
      <c r="O15" s="8">
        <v>-0.36985633729445766</v>
      </c>
      <c r="P15" s="8">
        <v>3.0133460157476719</v>
      </c>
      <c r="Q15" s="9">
        <v>4.3312814237587958</v>
      </c>
      <c r="S15" s="47">
        <v>-102.2304576242658</v>
      </c>
      <c r="T15" s="45">
        <v>82.697478932793899</v>
      </c>
      <c r="U15" s="45">
        <v>9.6603049863783177</v>
      </c>
      <c r="V15" s="45">
        <v>8.8461977159336769</v>
      </c>
      <c r="W15" s="45">
        <v>-2.4433863650085712</v>
      </c>
      <c r="X15" s="45">
        <v>-36.722566620712001</v>
      </c>
      <c r="Y15" s="45">
        <v>19.833512208155337</v>
      </c>
      <c r="Z15" s="46">
        <v>-3.0364694539569594</v>
      </c>
      <c r="AA15" s="7">
        <v>-73.940728354241926</v>
      </c>
      <c r="AB15" s="8">
        <v>-61.70356581229111</v>
      </c>
      <c r="AC15" s="8">
        <v>27.320890218523289</v>
      </c>
      <c r="AD15" s="8">
        <v>49.397133656989567</v>
      </c>
      <c r="AE15" s="8">
        <v>28.527401471099527</v>
      </c>
      <c r="AF15" s="8">
        <v>2.9922394744270315</v>
      </c>
      <c r="AG15" s="8">
        <v>-13.598540922218739</v>
      </c>
      <c r="AH15" s="9">
        <v>-15.14183225644557</v>
      </c>
    </row>
    <row r="16" spans="2:34" ht="40.049999999999997" customHeight="1" x14ac:dyDescent="0.3">
      <c r="B16" s="47">
        <v>-4.1902869447023043</v>
      </c>
      <c r="C16" s="45">
        <v>1.2080758196719614</v>
      </c>
      <c r="D16" s="45">
        <v>-26.281806302447123</v>
      </c>
      <c r="E16" s="45">
        <v>29.69876071955742</v>
      </c>
      <c r="F16" s="45">
        <v>53.050415756689524</v>
      </c>
      <c r="G16" s="45">
        <v>20.823418015495875</v>
      </c>
      <c r="H16" s="45">
        <v>58.759204885444802</v>
      </c>
      <c r="I16" s="76">
        <v>30.705196071549793</v>
      </c>
      <c r="J16" s="7">
        <v>36.060431036025598</v>
      </c>
      <c r="K16" s="8">
        <v>44.022192959072939</v>
      </c>
      <c r="L16" s="8">
        <v>20.475896720167675</v>
      </c>
      <c r="M16" s="8">
        <v>6.5122173213876096</v>
      </c>
      <c r="N16" s="8">
        <v>34.418978615953698</v>
      </c>
      <c r="O16" s="8">
        <v>7.3797711116380071</v>
      </c>
      <c r="P16" s="8">
        <v>-4.5401413286659462</v>
      </c>
      <c r="Q16" s="9">
        <v>-3.7283471784466435</v>
      </c>
      <c r="S16" s="47">
        <v>57.90249166697415</v>
      </c>
      <c r="T16" s="45">
        <v>-56.401466709178365</v>
      </c>
      <c r="U16" s="45">
        <v>-13.458184527605548</v>
      </c>
      <c r="V16" s="45">
        <v>20.693364819351928</v>
      </c>
      <c r="W16" s="45">
        <v>19.358884203121349</v>
      </c>
      <c r="X16" s="45">
        <v>4.2262218432246783</v>
      </c>
      <c r="Y16" s="45">
        <v>-40.982679464217149</v>
      </c>
      <c r="Z16" s="46">
        <v>4.4511600497361163</v>
      </c>
      <c r="AA16" s="7">
        <v>49.709960008161708</v>
      </c>
      <c r="AB16" s="8">
        <v>40.616915884658319</v>
      </c>
      <c r="AC16" s="8">
        <v>-1.7476595951101939</v>
      </c>
      <c r="AD16" s="8">
        <v>13.134398605008069</v>
      </c>
      <c r="AE16" s="8">
        <v>2.095001946793781</v>
      </c>
      <c r="AF16" s="8">
        <v>-23.0862292496683</v>
      </c>
      <c r="AG16" s="8">
        <v>-7.016057877312087</v>
      </c>
      <c r="AH16" s="9">
        <v>9.5210946810507036</v>
      </c>
    </row>
    <row r="17" spans="2:34" ht="40.049999999999997" customHeight="1" thickBot="1" x14ac:dyDescent="0.35">
      <c r="B17" s="48">
        <v>2.7652616322664674</v>
      </c>
      <c r="C17" s="49">
        <v>-1.9352941071934211</v>
      </c>
      <c r="D17" s="49">
        <v>5.0836904989504106</v>
      </c>
      <c r="E17" s="49">
        <v>39.001812053999501</v>
      </c>
      <c r="F17" s="49">
        <v>1.2199055381950821</v>
      </c>
      <c r="G17" s="49">
        <v>-5.4979982749180714</v>
      </c>
      <c r="H17" s="49">
        <v>-36.089629286567224</v>
      </c>
      <c r="I17" s="77">
        <v>-12.677848314416114</v>
      </c>
      <c r="J17" s="13">
        <v>-4.1722763396546458</v>
      </c>
      <c r="K17" s="14">
        <v>-9.1493700456374967</v>
      </c>
      <c r="L17" s="14">
        <v>30.469098666919873</v>
      </c>
      <c r="M17" s="14">
        <v>-5.1264622806063525</v>
      </c>
      <c r="N17" s="14">
        <v>-9.6092983448307479</v>
      </c>
      <c r="O17" s="14">
        <v>0.70070842518812881</v>
      </c>
      <c r="P17" s="14">
        <v>0.80324861502218248</v>
      </c>
      <c r="Q17" s="15">
        <v>2.1544365040990829</v>
      </c>
      <c r="S17" s="48">
        <v>-2.8744245126743069</v>
      </c>
      <c r="T17" s="49">
        <v>28.39721117789534</v>
      </c>
      <c r="U17" s="49">
        <v>-30.355508536870413</v>
      </c>
      <c r="V17" s="49">
        <v>-12.595785403202846</v>
      </c>
      <c r="W17" s="49">
        <v>24.306216511037874</v>
      </c>
      <c r="X17" s="49">
        <v>4.2802776094265376</v>
      </c>
      <c r="Y17" s="49">
        <v>7.7810551677432116</v>
      </c>
      <c r="Z17" s="51">
        <v>-22.109957887881379</v>
      </c>
      <c r="AA17" s="13">
        <v>2.1460992038268349</v>
      </c>
      <c r="AB17" s="14">
        <v>1.4662713124334539</v>
      </c>
      <c r="AC17" s="14">
        <v>-1.6861322231489897</v>
      </c>
      <c r="AD17" s="14">
        <v>-17.502869571556548</v>
      </c>
      <c r="AE17" s="14">
        <v>-13.99268369908482</v>
      </c>
      <c r="AF17" s="14">
        <v>7.8906576787434517</v>
      </c>
      <c r="AG17" s="14">
        <v>20.68744757537112</v>
      </c>
      <c r="AH17" s="15">
        <v>12.324955244688988</v>
      </c>
    </row>
  </sheetData>
  <mergeCells count="2">
    <mergeCell ref="B1:Q1"/>
    <mergeCell ref="S1:A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06A12-E617-4B4F-978A-575885EE9327}">
  <dimension ref="A1:T17"/>
  <sheetViews>
    <sheetView workbookViewId="0">
      <selection activeCell="V3" sqref="V3"/>
    </sheetView>
  </sheetViews>
  <sheetFormatPr defaultRowHeight="14.4" x14ac:dyDescent="0.3"/>
  <sheetData>
    <row r="1" spans="1:20" ht="40.049999999999997" customHeight="1" thickBot="1" x14ac:dyDescent="0.35">
      <c r="A1" s="41" t="s">
        <v>1</v>
      </c>
      <c r="B1" s="56">
        <v>0</v>
      </c>
      <c r="C1" s="57">
        <v>1</v>
      </c>
      <c r="D1" s="57">
        <v>2</v>
      </c>
      <c r="E1" s="57">
        <v>3</v>
      </c>
      <c r="F1" s="57">
        <v>4</v>
      </c>
      <c r="G1" s="57">
        <v>5</v>
      </c>
      <c r="H1" s="57">
        <v>6</v>
      </c>
      <c r="I1" s="58">
        <v>7</v>
      </c>
      <c r="J1" s="53">
        <v>0</v>
      </c>
      <c r="K1" s="54">
        <v>1</v>
      </c>
      <c r="L1" s="54">
        <v>2</v>
      </c>
      <c r="M1" s="54">
        <v>3</v>
      </c>
      <c r="N1" s="54">
        <v>4</v>
      </c>
      <c r="O1" s="54">
        <v>5</v>
      </c>
      <c r="P1" s="54">
        <v>6</v>
      </c>
      <c r="Q1" s="55">
        <v>7</v>
      </c>
    </row>
    <row r="2" spans="1:20" ht="40.049999999999997" customHeight="1" thickBot="1" x14ac:dyDescent="0.35">
      <c r="A2" s="59">
        <v>0</v>
      </c>
      <c r="B2" s="1">
        <f>1+((1+B$1+$A2)*$T$2)</f>
        <v>3</v>
      </c>
      <c r="C2" s="2">
        <f>1+((1+C$1+$A2)*$T$2)</f>
        <v>5</v>
      </c>
      <c r="D2" s="2">
        <f t="shared" ref="D2:K17" si="0">1+((1+D$1+$A2)*$T$2)</f>
        <v>7</v>
      </c>
      <c r="E2" s="2">
        <f t="shared" si="0"/>
        <v>9</v>
      </c>
      <c r="F2" s="2">
        <f t="shared" si="0"/>
        <v>11</v>
      </c>
      <c r="G2" s="2">
        <f t="shared" si="0"/>
        <v>13</v>
      </c>
      <c r="H2" s="2">
        <f t="shared" si="0"/>
        <v>15</v>
      </c>
      <c r="I2" s="3">
        <f t="shared" si="0"/>
        <v>17</v>
      </c>
      <c r="J2" s="50">
        <f>1+((1+J$1+$A2)*$T$2)</f>
        <v>3</v>
      </c>
      <c r="K2" s="43">
        <f>1+((1+K$1+$A2)*$T$2)</f>
        <v>5</v>
      </c>
      <c r="L2" s="43">
        <f t="shared" ref="L2:Q17" si="1">1+((1+L$1+$A2)*$T$2)</f>
        <v>7</v>
      </c>
      <c r="M2" s="43">
        <f t="shared" si="1"/>
        <v>9</v>
      </c>
      <c r="N2" s="43">
        <f t="shared" si="1"/>
        <v>11</v>
      </c>
      <c r="O2" s="43">
        <f t="shared" si="1"/>
        <v>13</v>
      </c>
      <c r="P2" s="43">
        <f t="shared" si="1"/>
        <v>15</v>
      </c>
      <c r="Q2" s="44">
        <f t="shared" si="1"/>
        <v>17</v>
      </c>
      <c r="S2" s="52" t="s">
        <v>4</v>
      </c>
      <c r="T2" s="42">
        <v>2</v>
      </c>
    </row>
    <row r="3" spans="1:20" ht="40.049999999999997" customHeight="1" x14ac:dyDescent="0.3">
      <c r="A3" s="60">
        <v>1</v>
      </c>
      <c r="B3" s="7">
        <f t="shared" ref="B3:C17" si="2">1+((1+B$1+$A3)*$T$2)</f>
        <v>5</v>
      </c>
      <c r="C3" s="8">
        <f t="shared" si="2"/>
        <v>7</v>
      </c>
      <c r="D3" s="8">
        <f t="shared" si="0"/>
        <v>9</v>
      </c>
      <c r="E3" s="8">
        <f t="shared" si="0"/>
        <v>11</v>
      </c>
      <c r="F3" s="8">
        <f t="shared" si="0"/>
        <v>13</v>
      </c>
      <c r="G3" s="8">
        <f t="shared" si="0"/>
        <v>15</v>
      </c>
      <c r="H3" s="8">
        <f t="shared" si="0"/>
        <v>17</v>
      </c>
      <c r="I3" s="9">
        <f t="shared" si="0"/>
        <v>19</v>
      </c>
      <c r="J3" s="47">
        <f t="shared" si="0"/>
        <v>5</v>
      </c>
      <c r="K3" s="45">
        <f t="shared" si="0"/>
        <v>7</v>
      </c>
      <c r="L3" s="45">
        <f t="shared" si="1"/>
        <v>9</v>
      </c>
      <c r="M3" s="45">
        <f t="shared" si="1"/>
        <v>11</v>
      </c>
      <c r="N3" s="45">
        <f t="shared" si="1"/>
        <v>13</v>
      </c>
      <c r="O3" s="45">
        <f t="shared" si="1"/>
        <v>15</v>
      </c>
      <c r="P3" s="45">
        <f t="shared" si="1"/>
        <v>17</v>
      </c>
      <c r="Q3" s="46">
        <f t="shared" si="1"/>
        <v>19</v>
      </c>
    </row>
    <row r="4" spans="1:20" ht="40.049999999999997" customHeight="1" x14ac:dyDescent="0.3">
      <c r="A4" s="60">
        <v>2</v>
      </c>
      <c r="B4" s="7">
        <f t="shared" si="2"/>
        <v>7</v>
      </c>
      <c r="C4" s="8">
        <f t="shared" si="2"/>
        <v>9</v>
      </c>
      <c r="D4" s="8">
        <f t="shared" si="0"/>
        <v>11</v>
      </c>
      <c r="E4" s="8">
        <f t="shared" si="0"/>
        <v>13</v>
      </c>
      <c r="F4" s="8">
        <f t="shared" si="0"/>
        <v>15</v>
      </c>
      <c r="G4" s="8">
        <f t="shared" si="0"/>
        <v>17</v>
      </c>
      <c r="H4" s="8">
        <f t="shared" si="0"/>
        <v>19</v>
      </c>
      <c r="I4" s="9">
        <f t="shared" si="0"/>
        <v>21</v>
      </c>
      <c r="J4" s="47">
        <f t="shared" si="0"/>
        <v>7</v>
      </c>
      <c r="K4" s="45">
        <f t="shared" si="0"/>
        <v>9</v>
      </c>
      <c r="L4" s="45">
        <f t="shared" si="1"/>
        <v>11</v>
      </c>
      <c r="M4" s="45">
        <f t="shared" si="1"/>
        <v>13</v>
      </c>
      <c r="N4" s="45">
        <f t="shared" si="1"/>
        <v>15</v>
      </c>
      <c r="O4" s="45">
        <f t="shared" si="1"/>
        <v>17</v>
      </c>
      <c r="P4" s="45">
        <f t="shared" si="1"/>
        <v>19</v>
      </c>
      <c r="Q4" s="46">
        <f t="shared" si="1"/>
        <v>21</v>
      </c>
    </row>
    <row r="5" spans="1:20" ht="40.049999999999997" customHeight="1" x14ac:dyDescent="0.3">
      <c r="A5" s="60">
        <v>3</v>
      </c>
      <c r="B5" s="7">
        <f t="shared" si="2"/>
        <v>9</v>
      </c>
      <c r="C5" s="8">
        <f t="shared" si="2"/>
        <v>11</v>
      </c>
      <c r="D5" s="8">
        <f t="shared" si="0"/>
        <v>13</v>
      </c>
      <c r="E5" s="8">
        <f t="shared" si="0"/>
        <v>15</v>
      </c>
      <c r="F5" s="8">
        <f t="shared" si="0"/>
        <v>17</v>
      </c>
      <c r="G5" s="8">
        <f t="shared" si="0"/>
        <v>19</v>
      </c>
      <c r="H5" s="8">
        <f t="shared" si="0"/>
        <v>21</v>
      </c>
      <c r="I5" s="9">
        <f t="shared" si="0"/>
        <v>23</v>
      </c>
      <c r="J5" s="47">
        <f t="shared" si="0"/>
        <v>9</v>
      </c>
      <c r="K5" s="45">
        <f t="shared" si="0"/>
        <v>11</v>
      </c>
      <c r="L5" s="45">
        <f t="shared" si="1"/>
        <v>13</v>
      </c>
      <c r="M5" s="45">
        <f t="shared" si="1"/>
        <v>15</v>
      </c>
      <c r="N5" s="45">
        <f t="shared" si="1"/>
        <v>17</v>
      </c>
      <c r="O5" s="45">
        <f t="shared" si="1"/>
        <v>19</v>
      </c>
      <c r="P5" s="45">
        <f t="shared" si="1"/>
        <v>21</v>
      </c>
      <c r="Q5" s="46">
        <f t="shared" si="1"/>
        <v>23</v>
      </c>
    </row>
    <row r="6" spans="1:20" ht="40.049999999999997" customHeight="1" x14ac:dyDescent="0.3">
      <c r="A6" s="60">
        <v>4</v>
      </c>
      <c r="B6" s="7">
        <f t="shared" si="2"/>
        <v>11</v>
      </c>
      <c r="C6" s="8">
        <f t="shared" si="2"/>
        <v>13</v>
      </c>
      <c r="D6" s="8">
        <f t="shared" si="0"/>
        <v>15</v>
      </c>
      <c r="E6" s="8">
        <f t="shared" si="0"/>
        <v>17</v>
      </c>
      <c r="F6" s="8">
        <f t="shared" si="0"/>
        <v>19</v>
      </c>
      <c r="G6" s="8">
        <f t="shared" si="0"/>
        <v>21</v>
      </c>
      <c r="H6" s="8">
        <f t="shared" si="0"/>
        <v>23</v>
      </c>
      <c r="I6" s="9">
        <f t="shared" si="0"/>
        <v>25</v>
      </c>
      <c r="J6" s="47">
        <f t="shared" si="0"/>
        <v>11</v>
      </c>
      <c r="K6" s="45">
        <f t="shared" si="0"/>
        <v>13</v>
      </c>
      <c r="L6" s="45">
        <f t="shared" si="1"/>
        <v>15</v>
      </c>
      <c r="M6" s="45">
        <f t="shared" si="1"/>
        <v>17</v>
      </c>
      <c r="N6" s="45">
        <f t="shared" si="1"/>
        <v>19</v>
      </c>
      <c r="O6" s="45">
        <f t="shared" si="1"/>
        <v>21</v>
      </c>
      <c r="P6" s="45">
        <f t="shared" si="1"/>
        <v>23</v>
      </c>
      <c r="Q6" s="46">
        <f t="shared" si="1"/>
        <v>25</v>
      </c>
    </row>
    <row r="7" spans="1:20" ht="40.049999999999997" customHeight="1" x14ac:dyDescent="0.3">
      <c r="A7" s="60">
        <v>5</v>
      </c>
      <c r="B7" s="7">
        <f t="shared" si="2"/>
        <v>13</v>
      </c>
      <c r="C7" s="8">
        <f t="shared" si="2"/>
        <v>15</v>
      </c>
      <c r="D7" s="8">
        <f t="shared" si="0"/>
        <v>17</v>
      </c>
      <c r="E7" s="8">
        <f t="shared" si="0"/>
        <v>19</v>
      </c>
      <c r="F7" s="8">
        <f t="shared" si="0"/>
        <v>21</v>
      </c>
      <c r="G7" s="8">
        <f t="shared" si="0"/>
        <v>23</v>
      </c>
      <c r="H7" s="8">
        <f t="shared" si="0"/>
        <v>25</v>
      </c>
      <c r="I7" s="9">
        <f t="shared" si="0"/>
        <v>27</v>
      </c>
      <c r="J7" s="47">
        <f t="shared" si="0"/>
        <v>13</v>
      </c>
      <c r="K7" s="45">
        <f t="shared" si="0"/>
        <v>15</v>
      </c>
      <c r="L7" s="45">
        <f t="shared" si="1"/>
        <v>17</v>
      </c>
      <c r="M7" s="45">
        <f t="shared" si="1"/>
        <v>19</v>
      </c>
      <c r="N7" s="45">
        <f t="shared" si="1"/>
        <v>21</v>
      </c>
      <c r="O7" s="45">
        <f t="shared" si="1"/>
        <v>23</v>
      </c>
      <c r="P7" s="45">
        <f t="shared" si="1"/>
        <v>25</v>
      </c>
      <c r="Q7" s="46">
        <f t="shared" si="1"/>
        <v>27</v>
      </c>
    </row>
    <row r="8" spans="1:20" ht="40.049999999999997" customHeight="1" x14ac:dyDescent="0.3">
      <c r="A8" s="60">
        <v>6</v>
      </c>
      <c r="B8" s="7">
        <f t="shared" si="2"/>
        <v>15</v>
      </c>
      <c r="C8" s="8">
        <f t="shared" si="2"/>
        <v>17</v>
      </c>
      <c r="D8" s="8">
        <f t="shared" si="0"/>
        <v>19</v>
      </c>
      <c r="E8" s="8">
        <f t="shared" si="0"/>
        <v>21</v>
      </c>
      <c r="F8" s="8">
        <f t="shared" si="0"/>
        <v>23</v>
      </c>
      <c r="G8" s="8">
        <f t="shared" si="0"/>
        <v>25</v>
      </c>
      <c r="H8" s="8">
        <f t="shared" si="0"/>
        <v>27</v>
      </c>
      <c r="I8" s="9">
        <f t="shared" si="0"/>
        <v>29</v>
      </c>
      <c r="J8" s="47">
        <f t="shared" si="0"/>
        <v>15</v>
      </c>
      <c r="K8" s="45">
        <f t="shared" si="0"/>
        <v>17</v>
      </c>
      <c r="L8" s="45">
        <f t="shared" si="1"/>
        <v>19</v>
      </c>
      <c r="M8" s="45">
        <f t="shared" si="1"/>
        <v>21</v>
      </c>
      <c r="N8" s="45">
        <f t="shared" si="1"/>
        <v>23</v>
      </c>
      <c r="O8" s="45">
        <f t="shared" si="1"/>
        <v>25</v>
      </c>
      <c r="P8" s="45">
        <f t="shared" si="1"/>
        <v>27</v>
      </c>
      <c r="Q8" s="46">
        <f t="shared" si="1"/>
        <v>29</v>
      </c>
    </row>
    <row r="9" spans="1:20" ht="40.049999999999997" customHeight="1" thickBot="1" x14ac:dyDescent="0.35">
      <c r="A9" s="61">
        <v>7</v>
      </c>
      <c r="B9" s="13">
        <f t="shared" si="2"/>
        <v>17</v>
      </c>
      <c r="C9" s="14">
        <f t="shared" si="2"/>
        <v>19</v>
      </c>
      <c r="D9" s="14">
        <f t="shared" si="0"/>
        <v>21</v>
      </c>
      <c r="E9" s="14">
        <f t="shared" si="0"/>
        <v>23</v>
      </c>
      <c r="F9" s="14">
        <f t="shared" si="0"/>
        <v>25</v>
      </c>
      <c r="G9" s="14">
        <f t="shared" si="0"/>
        <v>27</v>
      </c>
      <c r="H9" s="14">
        <f t="shared" si="0"/>
        <v>29</v>
      </c>
      <c r="I9" s="15">
        <f t="shared" si="0"/>
        <v>31</v>
      </c>
      <c r="J9" s="48">
        <f t="shared" si="0"/>
        <v>17</v>
      </c>
      <c r="K9" s="49">
        <f t="shared" si="0"/>
        <v>19</v>
      </c>
      <c r="L9" s="49">
        <f t="shared" si="1"/>
        <v>21</v>
      </c>
      <c r="M9" s="49">
        <f t="shared" si="1"/>
        <v>23</v>
      </c>
      <c r="N9" s="49">
        <f t="shared" si="1"/>
        <v>25</v>
      </c>
      <c r="O9" s="49">
        <f t="shared" si="1"/>
        <v>27</v>
      </c>
      <c r="P9" s="49">
        <f t="shared" si="1"/>
        <v>29</v>
      </c>
      <c r="Q9" s="51">
        <f t="shared" si="1"/>
        <v>31</v>
      </c>
    </row>
    <row r="10" spans="1:20" ht="40.049999999999997" customHeight="1" x14ac:dyDescent="0.3">
      <c r="A10" s="62">
        <v>0</v>
      </c>
      <c r="B10" s="50">
        <f>1+((1+B$1+$A10)*$T$2)</f>
        <v>3</v>
      </c>
      <c r="C10" s="43">
        <f>1+((1+C$1+$A10)*$T$2)</f>
        <v>5</v>
      </c>
      <c r="D10" s="43">
        <f t="shared" si="0"/>
        <v>7</v>
      </c>
      <c r="E10" s="43">
        <f t="shared" si="0"/>
        <v>9</v>
      </c>
      <c r="F10" s="43">
        <f t="shared" si="0"/>
        <v>11</v>
      </c>
      <c r="G10" s="43">
        <f t="shared" si="0"/>
        <v>13</v>
      </c>
      <c r="H10" s="43">
        <f t="shared" si="0"/>
        <v>15</v>
      </c>
      <c r="I10" s="44">
        <f t="shared" si="0"/>
        <v>17</v>
      </c>
      <c r="J10" s="1">
        <f>1+((1+J$1+$A10)*$T$2)</f>
        <v>3</v>
      </c>
      <c r="K10" s="2">
        <f>1+((1+K$1+$A10)*$T$2)</f>
        <v>5</v>
      </c>
      <c r="L10" s="2">
        <f t="shared" si="1"/>
        <v>7</v>
      </c>
      <c r="M10" s="2">
        <f t="shared" si="1"/>
        <v>9</v>
      </c>
      <c r="N10" s="2">
        <f t="shared" si="1"/>
        <v>11</v>
      </c>
      <c r="O10" s="2">
        <f t="shared" si="1"/>
        <v>13</v>
      </c>
      <c r="P10" s="2">
        <f t="shared" si="1"/>
        <v>15</v>
      </c>
      <c r="Q10" s="3">
        <f t="shared" si="1"/>
        <v>17</v>
      </c>
    </row>
    <row r="11" spans="1:20" ht="40.049999999999997" customHeight="1" x14ac:dyDescent="0.3">
      <c r="A11" s="63">
        <v>1</v>
      </c>
      <c r="B11" s="47">
        <f t="shared" si="2"/>
        <v>5</v>
      </c>
      <c r="C11" s="45">
        <f t="shared" si="2"/>
        <v>7</v>
      </c>
      <c r="D11" s="45">
        <f t="shared" si="0"/>
        <v>9</v>
      </c>
      <c r="E11" s="45">
        <f t="shared" si="0"/>
        <v>11</v>
      </c>
      <c r="F11" s="45">
        <f t="shared" si="0"/>
        <v>13</v>
      </c>
      <c r="G11" s="45">
        <f t="shared" si="0"/>
        <v>15</v>
      </c>
      <c r="H11" s="45">
        <f t="shared" si="0"/>
        <v>17</v>
      </c>
      <c r="I11" s="46">
        <f t="shared" si="0"/>
        <v>19</v>
      </c>
      <c r="J11" s="7">
        <f t="shared" si="0"/>
        <v>5</v>
      </c>
      <c r="K11" s="8">
        <f t="shared" si="0"/>
        <v>7</v>
      </c>
      <c r="L11" s="8">
        <f t="shared" si="1"/>
        <v>9</v>
      </c>
      <c r="M11" s="8">
        <f t="shared" si="1"/>
        <v>11</v>
      </c>
      <c r="N11" s="8">
        <f t="shared" si="1"/>
        <v>13</v>
      </c>
      <c r="O11" s="8">
        <f t="shared" si="1"/>
        <v>15</v>
      </c>
      <c r="P11" s="8">
        <f t="shared" si="1"/>
        <v>17</v>
      </c>
      <c r="Q11" s="9">
        <f t="shared" si="1"/>
        <v>19</v>
      </c>
    </row>
    <row r="12" spans="1:20" ht="40.049999999999997" customHeight="1" x14ac:dyDescent="0.3">
      <c r="A12" s="63">
        <v>2</v>
      </c>
      <c r="B12" s="47">
        <f t="shared" si="2"/>
        <v>7</v>
      </c>
      <c r="C12" s="45">
        <f t="shared" si="2"/>
        <v>9</v>
      </c>
      <c r="D12" s="45">
        <f t="shared" si="0"/>
        <v>11</v>
      </c>
      <c r="E12" s="45">
        <f t="shared" si="0"/>
        <v>13</v>
      </c>
      <c r="F12" s="45">
        <f t="shared" si="0"/>
        <v>15</v>
      </c>
      <c r="G12" s="45">
        <f t="shared" si="0"/>
        <v>17</v>
      </c>
      <c r="H12" s="45">
        <f t="shared" si="0"/>
        <v>19</v>
      </c>
      <c r="I12" s="46">
        <f t="shared" si="0"/>
        <v>21</v>
      </c>
      <c r="J12" s="7">
        <f t="shared" si="0"/>
        <v>7</v>
      </c>
      <c r="K12" s="8">
        <f t="shared" si="0"/>
        <v>9</v>
      </c>
      <c r="L12" s="8">
        <f t="shared" si="1"/>
        <v>11</v>
      </c>
      <c r="M12" s="8">
        <f t="shared" si="1"/>
        <v>13</v>
      </c>
      <c r="N12" s="8">
        <f t="shared" si="1"/>
        <v>15</v>
      </c>
      <c r="O12" s="8">
        <f t="shared" si="1"/>
        <v>17</v>
      </c>
      <c r="P12" s="8">
        <f t="shared" si="1"/>
        <v>19</v>
      </c>
      <c r="Q12" s="9">
        <f t="shared" si="1"/>
        <v>21</v>
      </c>
    </row>
    <row r="13" spans="1:20" ht="40.049999999999997" customHeight="1" x14ac:dyDescent="0.3">
      <c r="A13" s="63">
        <v>3</v>
      </c>
      <c r="B13" s="47">
        <f t="shared" si="2"/>
        <v>9</v>
      </c>
      <c r="C13" s="45">
        <f t="shared" si="2"/>
        <v>11</v>
      </c>
      <c r="D13" s="45">
        <f t="shared" si="0"/>
        <v>13</v>
      </c>
      <c r="E13" s="45">
        <f t="shared" si="0"/>
        <v>15</v>
      </c>
      <c r="F13" s="45">
        <f t="shared" si="0"/>
        <v>17</v>
      </c>
      <c r="G13" s="45">
        <f t="shared" si="0"/>
        <v>19</v>
      </c>
      <c r="H13" s="45">
        <f t="shared" si="0"/>
        <v>21</v>
      </c>
      <c r="I13" s="46">
        <f t="shared" si="0"/>
        <v>23</v>
      </c>
      <c r="J13" s="7">
        <f t="shared" si="0"/>
        <v>9</v>
      </c>
      <c r="K13" s="8">
        <f t="shared" si="0"/>
        <v>11</v>
      </c>
      <c r="L13" s="8">
        <f t="shared" si="1"/>
        <v>13</v>
      </c>
      <c r="M13" s="8">
        <f t="shared" si="1"/>
        <v>15</v>
      </c>
      <c r="N13" s="8">
        <f t="shared" si="1"/>
        <v>17</v>
      </c>
      <c r="O13" s="8">
        <f t="shared" si="1"/>
        <v>19</v>
      </c>
      <c r="P13" s="8">
        <f t="shared" si="1"/>
        <v>21</v>
      </c>
      <c r="Q13" s="9">
        <f t="shared" si="1"/>
        <v>23</v>
      </c>
    </row>
    <row r="14" spans="1:20" ht="40.049999999999997" customHeight="1" x14ac:dyDescent="0.3">
      <c r="A14" s="63">
        <v>4</v>
      </c>
      <c r="B14" s="47">
        <f t="shared" si="2"/>
        <v>11</v>
      </c>
      <c r="C14" s="45">
        <f t="shared" si="2"/>
        <v>13</v>
      </c>
      <c r="D14" s="45">
        <f t="shared" si="0"/>
        <v>15</v>
      </c>
      <c r="E14" s="45">
        <f t="shared" si="0"/>
        <v>17</v>
      </c>
      <c r="F14" s="45">
        <f t="shared" si="0"/>
        <v>19</v>
      </c>
      <c r="G14" s="45">
        <f t="shared" si="0"/>
        <v>21</v>
      </c>
      <c r="H14" s="45">
        <f t="shared" si="0"/>
        <v>23</v>
      </c>
      <c r="I14" s="46">
        <f t="shared" si="0"/>
        <v>25</v>
      </c>
      <c r="J14" s="7">
        <f t="shared" si="0"/>
        <v>11</v>
      </c>
      <c r="K14" s="8">
        <f t="shared" si="0"/>
        <v>13</v>
      </c>
      <c r="L14" s="8">
        <f t="shared" si="1"/>
        <v>15</v>
      </c>
      <c r="M14" s="8">
        <f t="shared" si="1"/>
        <v>17</v>
      </c>
      <c r="N14" s="8">
        <f t="shared" si="1"/>
        <v>19</v>
      </c>
      <c r="O14" s="8">
        <f t="shared" si="1"/>
        <v>21</v>
      </c>
      <c r="P14" s="8">
        <f t="shared" si="1"/>
        <v>23</v>
      </c>
      <c r="Q14" s="9">
        <f t="shared" si="1"/>
        <v>25</v>
      </c>
    </row>
    <row r="15" spans="1:20" ht="40.049999999999997" customHeight="1" x14ac:dyDescent="0.3">
      <c r="A15" s="63">
        <v>5</v>
      </c>
      <c r="B15" s="47">
        <f t="shared" si="2"/>
        <v>13</v>
      </c>
      <c r="C15" s="45">
        <f t="shared" si="2"/>
        <v>15</v>
      </c>
      <c r="D15" s="45">
        <f t="shared" si="0"/>
        <v>17</v>
      </c>
      <c r="E15" s="45">
        <f t="shared" si="0"/>
        <v>19</v>
      </c>
      <c r="F15" s="45">
        <f t="shared" si="0"/>
        <v>21</v>
      </c>
      <c r="G15" s="45">
        <f t="shared" si="0"/>
        <v>23</v>
      </c>
      <c r="H15" s="45">
        <f t="shared" si="0"/>
        <v>25</v>
      </c>
      <c r="I15" s="46">
        <f t="shared" si="0"/>
        <v>27</v>
      </c>
      <c r="J15" s="7">
        <f t="shared" si="0"/>
        <v>13</v>
      </c>
      <c r="K15" s="8">
        <f t="shared" si="0"/>
        <v>15</v>
      </c>
      <c r="L15" s="8">
        <f t="shared" si="1"/>
        <v>17</v>
      </c>
      <c r="M15" s="8">
        <f t="shared" si="1"/>
        <v>19</v>
      </c>
      <c r="N15" s="8">
        <f t="shared" si="1"/>
        <v>21</v>
      </c>
      <c r="O15" s="8">
        <f t="shared" si="1"/>
        <v>23</v>
      </c>
      <c r="P15" s="8">
        <f t="shared" si="1"/>
        <v>25</v>
      </c>
      <c r="Q15" s="9">
        <f t="shared" si="1"/>
        <v>27</v>
      </c>
    </row>
    <row r="16" spans="1:20" ht="40.049999999999997" customHeight="1" x14ac:dyDescent="0.3">
      <c r="A16" s="63">
        <v>6</v>
      </c>
      <c r="B16" s="47">
        <f t="shared" si="2"/>
        <v>15</v>
      </c>
      <c r="C16" s="45">
        <f t="shared" si="2"/>
        <v>17</v>
      </c>
      <c r="D16" s="45">
        <f t="shared" si="0"/>
        <v>19</v>
      </c>
      <c r="E16" s="45">
        <f t="shared" si="0"/>
        <v>21</v>
      </c>
      <c r="F16" s="45">
        <f t="shared" si="0"/>
        <v>23</v>
      </c>
      <c r="G16" s="45">
        <f t="shared" si="0"/>
        <v>25</v>
      </c>
      <c r="H16" s="45">
        <f t="shared" si="0"/>
        <v>27</v>
      </c>
      <c r="I16" s="46">
        <f t="shared" si="0"/>
        <v>29</v>
      </c>
      <c r="J16" s="7">
        <f t="shared" si="0"/>
        <v>15</v>
      </c>
      <c r="K16" s="8">
        <f t="shared" si="0"/>
        <v>17</v>
      </c>
      <c r="L16" s="8">
        <f t="shared" si="1"/>
        <v>19</v>
      </c>
      <c r="M16" s="8">
        <f t="shared" si="1"/>
        <v>21</v>
      </c>
      <c r="N16" s="8">
        <f t="shared" si="1"/>
        <v>23</v>
      </c>
      <c r="O16" s="8">
        <f t="shared" si="1"/>
        <v>25</v>
      </c>
      <c r="P16" s="8">
        <f t="shared" si="1"/>
        <v>27</v>
      </c>
      <c r="Q16" s="9">
        <f t="shared" si="1"/>
        <v>29</v>
      </c>
    </row>
    <row r="17" spans="1:17" ht="40.049999999999997" customHeight="1" thickBot="1" x14ac:dyDescent="0.35">
      <c r="A17" s="64">
        <v>7</v>
      </c>
      <c r="B17" s="48">
        <f t="shared" si="2"/>
        <v>17</v>
      </c>
      <c r="C17" s="49">
        <f t="shared" si="2"/>
        <v>19</v>
      </c>
      <c r="D17" s="49">
        <f t="shared" si="0"/>
        <v>21</v>
      </c>
      <c r="E17" s="49">
        <f t="shared" si="0"/>
        <v>23</v>
      </c>
      <c r="F17" s="49">
        <f t="shared" si="0"/>
        <v>25</v>
      </c>
      <c r="G17" s="49">
        <f t="shared" si="0"/>
        <v>27</v>
      </c>
      <c r="H17" s="49">
        <f t="shared" si="0"/>
        <v>29</v>
      </c>
      <c r="I17" s="51">
        <f t="shared" si="0"/>
        <v>31</v>
      </c>
      <c r="J17" s="13">
        <f t="shared" si="0"/>
        <v>17</v>
      </c>
      <c r="K17" s="14">
        <f t="shared" si="0"/>
        <v>19</v>
      </c>
      <c r="L17" s="14">
        <f t="shared" si="1"/>
        <v>21</v>
      </c>
      <c r="M17" s="14">
        <f t="shared" si="1"/>
        <v>23</v>
      </c>
      <c r="N17" s="14">
        <f t="shared" si="1"/>
        <v>25</v>
      </c>
      <c r="O17" s="14">
        <f t="shared" si="1"/>
        <v>27</v>
      </c>
      <c r="P17" s="14">
        <f t="shared" si="1"/>
        <v>29</v>
      </c>
      <c r="Q17" s="15">
        <f t="shared" si="1"/>
        <v>31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2E8DE-4C71-49E7-AAEB-D1F94921F5DE}">
  <dimension ref="A1:Q19"/>
  <sheetViews>
    <sheetView topLeftCell="A2" zoomScale="60" zoomScaleNormal="60" workbookViewId="0">
      <selection activeCell="Z6" sqref="Z6"/>
    </sheetView>
  </sheetViews>
  <sheetFormatPr defaultRowHeight="14.4" x14ac:dyDescent="0.3"/>
  <sheetData>
    <row r="1" spans="1:17" ht="40.049999999999997" customHeight="1" thickBot="1" x14ac:dyDescent="0.35">
      <c r="A1" s="41" t="s">
        <v>1</v>
      </c>
      <c r="B1" s="56">
        <v>0</v>
      </c>
      <c r="C1" s="57">
        <v>1</v>
      </c>
      <c r="D1" s="57">
        <v>2</v>
      </c>
      <c r="E1" s="57">
        <v>3</v>
      </c>
      <c r="F1" s="57">
        <v>4</v>
      </c>
      <c r="G1" s="57">
        <v>5</v>
      </c>
      <c r="H1" s="57">
        <v>6</v>
      </c>
      <c r="I1" s="58">
        <v>7</v>
      </c>
      <c r="J1" s="53">
        <v>8</v>
      </c>
      <c r="K1" s="54">
        <v>9</v>
      </c>
      <c r="L1" s="54">
        <v>10</v>
      </c>
      <c r="M1" s="54">
        <v>11</v>
      </c>
      <c r="N1" s="54">
        <v>12</v>
      </c>
      <c r="O1" s="54">
        <v>13</v>
      </c>
      <c r="P1" s="54">
        <v>14</v>
      </c>
      <c r="Q1" s="55">
        <v>15</v>
      </c>
    </row>
    <row r="2" spans="1:17" ht="40.049999999999997" customHeight="1" x14ac:dyDescent="0.3">
      <c r="A2" s="59">
        <v>0</v>
      </c>
      <c r="B2" s="1">
        <f>ROUNDDOWN('Част. предст. изобр.'!S2/'Матрица квантования'!B2,0)</f>
        <v>418</v>
      </c>
      <c r="C2" s="2">
        <f>ROUNDDOWN('Част. предст. изобр.'!T2/'Матрица квантования'!C2,0)</f>
        <v>0</v>
      </c>
      <c r="D2" s="2">
        <f>ROUNDDOWN('Част. предст. изобр.'!U2/'Матрица квантования'!D2,0)</f>
        <v>-1</v>
      </c>
      <c r="E2" s="2">
        <f>ROUNDDOWN('Част. предст. изобр.'!V2/'Матрица квантования'!E2,0)</f>
        <v>-3</v>
      </c>
      <c r="F2" s="2">
        <f>ROUNDDOWN('Част. предст. изобр.'!W2/'Матрица квантования'!F2,0)</f>
        <v>-9</v>
      </c>
      <c r="G2" s="2">
        <f>ROUNDDOWN('Част. предст. изобр.'!X2/'Матрица квантования'!G2,0)</f>
        <v>5</v>
      </c>
      <c r="H2" s="2">
        <f>ROUNDDOWN('Част. предст. изобр.'!Y2/'Матрица квантования'!H2,0)</f>
        <v>-9</v>
      </c>
      <c r="I2" s="3">
        <f>ROUNDDOWN('Част. предст. изобр.'!Z2/'Матрица квантования'!I2,0)</f>
        <v>1</v>
      </c>
      <c r="J2" s="50">
        <f>ROUNDDOWN('Част. предст. изобр.'!AA2/'Матрица квантования'!J2,0)</f>
        <v>380</v>
      </c>
      <c r="K2" s="43">
        <f>ROUNDDOWN('Част. предст. изобр.'!AB2/'Матрица квантования'!K2,0)</f>
        <v>-6</v>
      </c>
      <c r="L2" s="43">
        <f>ROUNDDOWN('Част. предст. изобр.'!AC2/'Матрица квантования'!L2,0)</f>
        <v>-2</v>
      </c>
      <c r="M2" s="43">
        <f>ROUNDDOWN('Част. предст. изобр.'!AD2/'Матрица квантования'!M2,0)</f>
        <v>11</v>
      </c>
      <c r="N2" s="43">
        <f>ROUNDDOWN('Част. предст. изобр.'!AE2/'Матрица квантования'!N2,0)</f>
        <v>-11</v>
      </c>
      <c r="O2" s="43">
        <f>ROUNDDOWN('Част. предст. изобр.'!AF2/'Матрица квантования'!O2,0)</f>
        <v>0</v>
      </c>
      <c r="P2" s="43">
        <f>ROUNDDOWN('Част. предст. изобр.'!AG2/'Матрица квантования'!P2,0)</f>
        <v>1</v>
      </c>
      <c r="Q2" s="44">
        <f>ROUNDDOWN('Част. предст. изобр.'!AH2/'Матрица квантования'!Q2,0)</f>
        <v>-3</v>
      </c>
    </row>
    <row r="3" spans="1:17" ht="40.049999999999997" customHeight="1" x14ac:dyDescent="0.3">
      <c r="A3" s="60">
        <v>1</v>
      </c>
      <c r="B3" s="7">
        <f>ROUNDDOWN('Част. предст. изобр.'!S3/'Матрица квантования'!B3,0)</f>
        <v>39</v>
      </c>
      <c r="C3" s="8">
        <f>ROUNDDOWN('Част. предст. изобр.'!T3/'Матрица квантования'!C3,0)</f>
        <v>-7</v>
      </c>
      <c r="D3" s="8">
        <f>ROUNDDOWN('Част. предст. изобр.'!U3/'Матрица квантования'!D3,0)</f>
        <v>-11</v>
      </c>
      <c r="E3" s="8">
        <f>ROUNDDOWN('Част. предст. изобр.'!V3/'Матрица квантования'!E3,0)</f>
        <v>-5</v>
      </c>
      <c r="F3" s="8">
        <f>ROUNDDOWN('Част. предст. изобр.'!W3/'Матрица квантования'!F3,0)</f>
        <v>8</v>
      </c>
      <c r="G3" s="8">
        <f>ROUNDDOWN('Част. предст. изобр.'!X3/'Матрица квантования'!G3,0)</f>
        <v>-6</v>
      </c>
      <c r="H3" s="8">
        <f>ROUNDDOWN('Част. предст. изобр.'!Y3/'Матрица квантования'!H3,0)</f>
        <v>7</v>
      </c>
      <c r="I3" s="9">
        <f>ROUNDDOWN('Част. предст. изобр.'!Z3/'Матрица квантования'!I3,0)</f>
        <v>0</v>
      </c>
      <c r="J3" s="47">
        <f>ROUNDDOWN('Част. предст. изобр.'!AA3/'Матрица квантования'!J3,0)</f>
        <v>30</v>
      </c>
      <c r="K3" s="45">
        <f>ROUNDDOWN('Част. предст. изобр.'!AB3/'Матрица квантования'!K3,0)</f>
        <v>13</v>
      </c>
      <c r="L3" s="45">
        <f>ROUNDDOWN('Част. предст. изобр.'!AC3/'Матрица квантования'!L3,0)</f>
        <v>-8</v>
      </c>
      <c r="M3" s="45">
        <f>ROUNDDOWN('Част. предст. изобр.'!AD3/'Матрица квантования'!M3,0)</f>
        <v>3</v>
      </c>
      <c r="N3" s="45">
        <f>ROUNDDOWN('Част. предст. изобр.'!AE3/'Матрица квантования'!N3,0)</f>
        <v>10</v>
      </c>
      <c r="O3" s="45">
        <f>ROUNDDOWN('Част. предст. изобр.'!AF3/'Матрица квантования'!O3,0)</f>
        <v>-2</v>
      </c>
      <c r="P3" s="45">
        <f>ROUNDDOWN('Част. предст. изобр.'!AG3/'Матрица квантования'!P3,0)</f>
        <v>-2</v>
      </c>
      <c r="Q3" s="46">
        <f>ROUNDDOWN('Част. предст. изобр.'!AH3/'Матрица квантования'!Q3,0)</f>
        <v>3</v>
      </c>
    </row>
    <row r="4" spans="1:17" ht="40.049999999999997" customHeight="1" x14ac:dyDescent="0.3">
      <c r="A4" s="60">
        <v>2</v>
      </c>
      <c r="B4" s="7">
        <f>ROUNDDOWN('Част. предст. изобр.'!S4/'Матрица квантования'!B4,0)</f>
        <v>6</v>
      </c>
      <c r="C4" s="8">
        <f>ROUNDDOWN('Част. предст. изобр.'!T4/'Матрица квантования'!C4,0)</f>
        <v>-12</v>
      </c>
      <c r="D4" s="8">
        <f>ROUNDDOWN('Част. предст. изобр.'!U4/'Матрица квантования'!D4,0)</f>
        <v>4</v>
      </c>
      <c r="E4" s="8">
        <f>ROUNDDOWN('Част. предст. изобр.'!V4/'Матрица квантования'!E4,0)</f>
        <v>9</v>
      </c>
      <c r="F4" s="8">
        <f>ROUNDDOWN('Част. предст. изобр.'!W4/'Матрица квантования'!F4,0)</f>
        <v>-2</v>
      </c>
      <c r="G4" s="8">
        <f>ROUNDDOWN('Част. предст. изобр.'!X4/'Матрица квантования'!G4,0)</f>
        <v>-2</v>
      </c>
      <c r="H4" s="8">
        <f>ROUNDDOWN('Част. предст. изобр.'!Y4/'Матрица квантования'!H4,0)</f>
        <v>0</v>
      </c>
      <c r="I4" s="9">
        <f>ROUNDDOWN('Част. предст. изобр.'!Z4/'Матрица квантования'!I4,0)</f>
        <v>-2</v>
      </c>
      <c r="J4" s="47">
        <f>ROUNDDOWN('Част. предст. изобр.'!AA4/'Матрица квантования'!J4,0)</f>
        <v>0</v>
      </c>
      <c r="K4" s="45">
        <f>ROUNDDOWN('Част. предст. изобр.'!AB4/'Матрица квантования'!K4,0)</f>
        <v>0</v>
      </c>
      <c r="L4" s="45">
        <f>ROUNDDOWN('Част. предст. изобр.'!AC4/'Матрица квантования'!L4,0)</f>
        <v>-3</v>
      </c>
      <c r="M4" s="45">
        <f>ROUNDDOWN('Част. предст. изобр.'!AD4/'Матрица квантования'!M4,0)</f>
        <v>-4</v>
      </c>
      <c r="N4" s="45">
        <f>ROUNDDOWN('Част. предст. изобр.'!AE4/'Матрица квантования'!N4,0)</f>
        <v>0</v>
      </c>
      <c r="O4" s="45">
        <f>ROUNDDOWN('Част. предст. изобр.'!AF4/'Матрица квантования'!O4,0)</f>
        <v>2</v>
      </c>
      <c r="P4" s="45">
        <f>ROUNDDOWN('Част. предст. изобр.'!AG4/'Матрица квантования'!P4,0)</f>
        <v>0</v>
      </c>
      <c r="Q4" s="46">
        <f>ROUNDDOWN('Част. предст. изобр.'!AH4/'Матрица квантования'!Q4,0)</f>
        <v>0</v>
      </c>
    </row>
    <row r="5" spans="1:17" ht="40.049999999999997" customHeight="1" x14ac:dyDescent="0.3">
      <c r="A5" s="60">
        <v>3</v>
      </c>
      <c r="B5" s="7">
        <f>ROUNDDOWN('Част. предст. изобр.'!S5/'Матрица квантования'!B5,0)</f>
        <v>-2</v>
      </c>
      <c r="C5" s="8">
        <f>ROUNDDOWN('Част. предст. изобр.'!T5/'Матрица квантования'!C5,0)</f>
        <v>0</v>
      </c>
      <c r="D5" s="8">
        <f>ROUNDDOWN('Част. предст. изобр.'!U5/'Матрица квантования'!D5,0)</f>
        <v>1</v>
      </c>
      <c r="E5" s="8">
        <f>ROUNDDOWN('Част. предст. изобр.'!V5/'Матрица квантования'!E5,0)</f>
        <v>1</v>
      </c>
      <c r="F5" s="8">
        <f>ROUNDDOWN('Част. предст. изобр.'!W5/'Матрица квантования'!F5,0)</f>
        <v>-9</v>
      </c>
      <c r="G5" s="8">
        <f>ROUNDDOWN('Част. предст. изобр.'!X5/'Матрица квантования'!G5,0)</f>
        <v>5</v>
      </c>
      <c r="H5" s="8">
        <f>ROUNDDOWN('Част. предст. изобр.'!Y5/'Матрица квантования'!H5,0)</f>
        <v>0</v>
      </c>
      <c r="I5" s="9">
        <f>ROUNDDOWN('Част. предст. изобр.'!Z5/'Матрица квантования'!I5,0)</f>
        <v>0</v>
      </c>
      <c r="J5" s="47">
        <f>ROUNDDOWN('Част. предст. изобр.'!AA5/'Матрица квантования'!J5,0)</f>
        <v>16</v>
      </c>
      <c r="K5" s="45">
        <f>ROUNDDOWN('Част. предст. изобр.'!AB5/'Матрица квантования'!K5,0)</f>
        <v>14</v>
      </c>
      <c r="L5" s="45">
        <f>ROUNDDOWN('Част. предст. изобр.'!AC5/'Матрица квантования'!L5,0)</f>
        <v>1</v>
      </c>
      <c r="M5" s="45">
        <f>ROUNDDOWN('Част. предст. изобр.'!AD5/'Матрица квантования'!M5,0)</f>
        <v>-7</v>
      </c>
      <c r="N5" s="45">
        <f>ROUNDDOWN('Част. предст. изобр.'!AE5/'Матрица квантования'!N5,0)</f>
        <v>-4</v>
      </c>
      <c r="O5" s="45">
        <f>ROUNDDOWN('Част. предст. изобр.'!AF5/'Матрица квантования'!O5,0)</f>
        <v>2</v>
      </c>
      <c r="P5" s="45">
        <f>ROUNDDOWN('Част. предст. изобр.'!AG5/'Матрица квантования'!P5,0)</f>
        <v>1</v>
      </c>
      <c r="Q5" s="46">
        <f>ROUNDDOWN('Част. предст. изобр.'!AH5/'Матрица квантования'!Q5,0)</f>
        <v>-1</v>
      </c>
    </row>
    <row r="6" spans="1:17" ht="40.049999999999997" customHeight="1" x14ac:dyDescent="0.3">
      <c r="A6" s="60">
        <v>4</v>
      </c>
      <c r="B6" s="7">
        <f>ROUNDDOWN('Част. предст. изобр.'!S6/'Матрица квантования'!B6,0)</f>
        <v>5</v>
      </c>
      <c r="C6" s="8">
        <f>ROUNDDOWN('Част. предст. изобр.'!T6/'Матрица квантования'!C6,0)</f>
        <v>-4</v>
      </c>
      <c r="D6" s="8">
        <f>ROUNDDOWN('Част. предст. изобр.'!U6/'Матрица квантования'!D6,0)</f>
        <v>3</v>
      </c>
      <c r="E6" s="8">
        <f>ROUNDDOWN('Част. предст. изобр.'!V6/'Матрица квантования'!E6,0)</f>
        <v>-6</v>
      </c>
      <c r="F6" s="8">
        <f>ROUNDDOWN('Част. предст. изобр.'!W6/'Матрица квантования'!F6,0)</f>
        <v>5</v>
      </c>
      <c r="G6" s="8">
        <f>ROUNDDOWN('Част. предст. изобр.'!X6/'Матрица квантования'!G6,0)</f>
        <v>1</v>
      </c>
      <c r="H6" s="8">
        <f>ROUNDDOWN('Част. предст. изобр.'!Y6/'Матрица квантования'!H6,0)</f>
        <v>-2</v>
      </c>
      <c r="I6" s="9">
        <f>ROUNDDOWN('Част. предст. изобр.'!Z6/'Матрица квантования'!I6,0)</f>
        <v>0</v>
      </c>
      <c r="J6" s="47">
        <f>ROUNDDOWN('Част. предст. изобр.'!AA6/'Матрица квантования'!J6,0)</f>
        <v>-10</v>
      </c>
      <c r="K6" s="45">
        <f>ROUNDDOWN('Част. предст. изобр.'!AB6/'Матрица квантования'!K6,0)</f>
        <v>-5</v>
      </c>
      <c r="L6" s="45">
        <f>ROUNDDOWN('Част. предст. изобр.'!AC6/'Матрица квантования'!L6,0)</f>
        <v>3</v>
      </c>
      <c r="M6" s="45">
        <f>ROUNDDOWN('Част. предст. изобр.'!AD6/'Матрица квантования'!M6,0)</f>
        <v>5</v>
      </c>
      <c r="N6" s="45">
        <f>ROUNDDOWN('Част. предст. изобр.'!AE6/'Матрица квантования'!N6,0)</f>
        <v>0</v>
      </c>
      <c r="O6" s="45">
        <f>ROUNDDOWN('Част. предст. изобр.'!AF6/'Матрица квантования'!O6,0)</f>
        <v>-3</v>
      </c>
      <c r="P6" s="45">
        <f>ROUNDDOWN('Част. предст. изобр.'!AG6/'Матрица квантования'!P6,0)</f>
        <v>0</v>
      </c>
      <c r="Q6" s="46">
        <f>ROUNDDOWN('Част. предст. изобр.'!AH6/'Матрица квантования'!Q6,0)</f>
        <v>2</v>
      </c>
    </row>
    <row r="7" spans="1:17" ht="40.049999999999997" customHeight="1" x14ac:dyDescent="0.3">
      <c r="A7" s="60">
        <v>5</v>
      </c>
      <c r="B7" s="7">
        <f>ROUNDDOWN('Част. предст. изобр.'!S7/'Матрица квантования'!B7,0)</f>
        <v>-3</v>
      </c>
      <c r="C7" s="8">
        <f>ROUNDDOWN('Част. предст. изобр.'!T7/'Матрица квантования'!C7,0)</f>
        <v>1</v>
      </c>
      <c r="D7" s="8">
        <f>ROUNDDOWN('Част. предст. изобр.'!U7/'Матрица квантования'!D7,0)</f>
        <v>0</v>
      </c>
      <c r="E7" s="8">
        <f>ROUNDDOWN('Част. предст. изобр.'!V7/'Матрица квантования'!E7,0)</f>
        <v>0</v>
      </c>
      <c r="F7" s="8">
        <f>ROUNDDOWN('Част. предст. изобр.'!W7/'Матрица квантования'!F7,0)</f>
        <v>1</v>
      </c>
      <c r="G7" s="8">
        <f>ROUNDDOWN('Част. предст. изобр.'!X7/'Матрица квантования'!G7,0)</f>
        <v>-3</v>
      </c>
      <c r="H7" s="8">
        <f>ROUNDDOWN('Част. предст. изобр.'!Y7/'Матрица квантования'!H7,0)</f>
        <v>0</v>
      </c>
      <c r="I7" s="9">
        <f>ROUNDDOWN('Част. предст. изобр.'!Z7/'Матрица квантования'!I7,0)</f>
        <v>1</v>
      </c>
      <c r="J7" s="47">
        <f>ROUNDDOWN('Част. предст. изобр.'!AA7/'Матрица квантования'!J7,0)</f>
        <v>-2</v>
      </c>
      <c r="K7" s="45">
        <f>ROUNDDOWN('Част. предст. изобр.'!AB7/'Матрица квантования'!K7,0)</f>
        <v>-1</v>
      </c>
      <c r="L7" s="45">
        <f>ROUNDDOWN('Част. предст. изобр.'!AC7/'Матрица квантования'!L7,0)</f>
        <v>1</v>
      </c>
      <c r="M7" s="45">
        <f>ROUNDDOWN('Част. предст. изобр.'!AD7/'Матрица квантования'!M7,0)</f>
        <v>3</v>
      </c>
      <c r="N7" s="45">
        <f>ROUNDDOWN('Част. предст. изобр.'!AE7/'Матрица квантования'!N7,0)</f>
        <v>1</v>
      </c>
      <c r="O7" s="45">
        <f>ROUNDDOWN('Част. предст. изобр.'!AF7/'Матрица квантования'!O7,0)</f>
        <v>0</v>
      </c>
      <c r="P7" s="45">
        <f>ROUNDDOWN('Част. предст. изобр.'!AG7/'Матрица квантования'!P7,0)</f>
        <v>-1</v>
      </c>
      <c r="Q7" s="46">
        <f>ROUNDDOWN('Част. предст. изобр.'!AH7/'Матрица квантования'!Q7,0)</f>
        <v>0</v>
      </c>
    </row>
    <row r="8" spans="1:17" ht="40.049999999999997" customHeight="1" x14ac:dyDescent="0.3">
      <c r="A8" s="60">
        <v>6</v>
      </c>
      <c r="B8" s="7">
        <f>ROUNDDOWN('Част. предст. изобр.'!S8/'Матрица квантования'!B8,0)</f>
        <v>-3</v>
      </c>
      <c r="C8" s="8">
        <f>ROUNDDOWN('Част. предст. изобр.'!T8/'Матрица квантования'!C8,0)</f>
        <v>3</v>
      </c>
      <c r="D8" s="8">
        <f>ROUNDDOWN('Част. предст. изобр.'!U8/'Матрица квантования'!D8,0)</f>
        <v>-2</v>
      </c>
      <c r="E8" s="8">
        <f>ROUNDDOWN('Част. предст. изобр.'!V8/'Матрица квантования'!E8,0)</f>
        <v>0</v>
      </c>
      <c r="F8" s="8">
        <f>ROUNDDOWN('Част. предст. изобр.'!W8/'Матрица квантования'!F8,0)</f>
        <v>0</v>
      </c>
      <c r="G8" s="8">
        <f>ROUNDDOWN('Част. предст. изобр.'!X8/'Матрица квантования'!G8,0)</f>
        <v>-1</v>
      </c>
      <c r="H8" s="8">
        <f>ROUNDDOWN('Част. предст. изобр.'!Y8/'Матрица квантования'!H8,0)</f>
        <v>2</v>
      </c>
      <c r="I8" s="9">
        <f>ROUNDDOWN('Част. предст. изобр.'!Z8/'Матрица квантования'!I8,0)</f>
        <v>0</v>
      </c>
      <c r="J8" s="47">
        <f>ROUNDDOWN('Част. предст. изобр.'!AA8/'Матрица квантования'!J8,0)</f>
        <v>2</v>
      </c>
      <c r="K8" s="45">
        <f>ROUNDDOWN('Част. предст. изобр.'!AB8/'Матрица квантования'!K8,0)</f>
        <v>1</v>
      </c>
      <c r="L8" s="45">
        <f>ROUNDDOWN('Част. предст. изобр.'!AC8/'Матрица квантования'!L8,0)</f>
        <v>-2</v>
      </c>
      <c r="M8" s="45">
        <f>ROUNDDOWN('Част. предст. изобр.'!AD8/'Матрица квантования'!M8,0)</f>
        <v>-1</v>
      </c>
      <c r="N8" s="45">
        <f>ROUNDDOWN('Част. предст. изобр.'!AE8/'Матрица квантования'!N8,0)</f>
        <v>1</v>
      </c>
      <c r="O8" s="45">
        <f>ROUNDDOWN('Част. предст. изобр.'!AF8/'Матрица квантования'!O8,0)</f>
        <v>2</v>
      </c>
      <c r="P8" s="45">
        <f>ROUNDDOWN('Част. предст. изобр.'!AG8/'Матрица квантования'!P8,0)</f>
        <v>0</v>
      </c>
      <c r="Q8" s="46">
        <f>ROUNDDOWN('Част. предст. изобр.'!AH8/'Матрица квантования'!Q8,0)</f>
        <v>-1</v>
      </c>
    </row>
    <row r="9" spans="1:17" ht="40.049999999999997" customHeight="1" thickBot="1" x14ac:dyDescent="0.35">
      <c r="A9" s="61">
        <v>7</v>
      </c>
      <c r="B9" s="13">
        <f>ROUNDDOWN('Част. предст. изобр.'!S9/'Матрица квантования'!B9,0)</f>
        <v>-1</v>
      </c>
      <c r="C9" s="14">
        <f>ROUNDDOWN('Част. предст. изобр.'!T9/'Матрица квантования'!C9,0)</f>
        <v>2</v>
      </c>
      <c r="D9" s="14">
        <f>ROUNDDOWN('Част. предст. изобр.'!U9/'Матрица квантования'!D9,0)</f>
        <v>-3</v>
      </c>
      <c r="E9" s="14">
        <f>ROUNDDOWN('Част. предст. изобр.'!V9/'Матрица квантования'!E9,0)</f>
        <v>2</v>
      </c>
      <c r="F9" s="14">
        <f>ROUNDDOWN('Част. предст. изобр.'!W9/'Матрица квантования'!F9,0)</f>
        <v>0</v>
      </c>
      <c r="G9" s="14">
        <f>ROUNDDOWN('Част. предст. изобр.'!X9/'Матрица квантования'!G9,0)</f>
        <v>0</v>
      </c>
      <c r="H9" s="14">
        <f>ROUNDDOWN('Част. предст. изобр.'!Y9/'Матрица квантования'!H9,0)</f>
        <v>0</v>
      </c>
      <c r="I9" s="15">
        <f>ROUNDDOWN('Част. предст. изобр.'!Z9/'Матрица квантования'!I9,0)</f>
        <v>0</v>
      </c>
      <c r="J9" s="48">
        <f>ROUNDDOWN('Част. предст. изобр.'!AA9/'Матрица квантования'!J9,0)</f>
        <v>-4</v>
      </c>
      <c r="K9" s="49">
        <f>ROUNDDOWN('Част. предст. изобр.'!AB9/'Матрица квантования'!K9,0)</f>
        <v>-4</v>
      </c>
      <c r="L9" s="49">
        <f>ROUNDDOWN('Част. предст. изобр.'!AC9/'Матрица квантования'!L9,0)</f>
        <v>-1</v>
      </c>
      <c r="M9" s="49">
        <f>ROUNDDOWN('Част. предст. изобр.'!AD9/'Матрица квантования'!M9,0)</f>
        <v>-1</v>
      </c>
      <c r="N9" s="49">
        <f>ROUNDDOWN('Част. предст. изобр.'!AE9/'Матрица квантования'!N9,0)</f>
        <v>-1</v>
      </c>
      <c r="O9" s="49">
        <f>ROUNDDOWN('Част. предст. изобр.'!AF9/'Матрица квантования'!O9,0)</f>
        <v>0</v>
      </c>
      <c r="P9" s="49">
        <f>ROUNDDOWN('Част. предст. изобр.'!AG9/'Матрица квантования'!P9,0)</f>
        <v>0</v>
      </c>
      <c r="Q9" s="51">
        <f>ROUNDDOWN('Част. предст. изобр.'!AH9/'Матрица квантования'!Q9,0)</f>
        <v>0</v>
      </c>
    </row>
    <row r="10" spans="1:17" ht="40.049999999999997" customHeight="1" x14ac:dyDescent="0.3">
      <c r="A10" s="62">
        <v>8</v>
      </c>
      <c r="B10" s="50">
        <f>ROUNDDOWN('Част. предст. изобр.'!S10/'Матрица квантования'!B10,0)</f>
        <v>377</v>
      </c>
      <c r="C10" s="43">
        <f>ROUNDDOWN('Част. предст. изобр.'!T10/'Матрица квантования'!C10,0)</f>
        <v>5</v>
      </c>
      <c r="D10" s="43">
        <f>ROUNDDOWN('Част. предст. изобр.'!U10/'Матрица квантования'!D10,0)</f>
        <v>19</v>
      </c>
      <c r="E10" s="43">
        <f>ROUNDDOWN('Част. предст. изобр.'!V10/'Матрица квантования'!E10,0)</f>
        <v>-11</v>
      </c>
      <c r="F10" s="43">
        <f>ROUNDDOWN('Част. предст. изобр.'!W10/'Матрица квантования'!F10,0)</f>
        <v>-6</v>
      </c>
      <c r="G10" s="43">
        <f>ROUNDDOWN('Част. предст. изобр.'!X10/'Матрица квантования'!G10,0)</f>
        <v>5</v>
      </c>
      <c r="H10" s="43">
        <f>ROUNDDOWN('Част. предст. изобр.'!Y10/'Матрица квантования'!H10,0)</f>
        <v>-10</v>
      </c>
      <c r="I10" s="44">
        <f>ROUNDDOWN('Част. предст. изобр.'!Z10/'Матрица квантования'!I10,0)</f>
        <v>-1</v>
      </c>
      <c r="J10" s="1">
        <f>ROUNDDOWN('Част. предст. изобр.'!AA10/'Матрица квантования'!J10,0)</f>
        <v>372</v>
      </c>
      <c r="K10" s="2">
        <f>ROUNDDOWN('Част. предст. изобр.'!AB10/'Матрица квантования'!K10,0)</f>
        <v>0</v>
      </c>
      <c r="L10" s="2">
        <f>ROUNDDOWN('Част. предст. изобр.'!AC10/'Матрица квантования'!L10,0)</f>
        <v>3</v>
      </c>
      <c r="M10" s="2">
        <f>ROUNDDOWN('Част. предст. изобр.'!AD10/'Матрица квантования'!M10,0)</f>
        <v>3</v>
      </c>
      <c r="N10" s="2">
        <f>ROUNDDOWN('Част. предст. изобр.'!AE10/'Матрица квантования'!N10,0)</f>
        <v>-19</v>
      </c>
      <c r="O10" s="2">
        <f>ROUNDDOWN('Част. предст. изобр.'!AF10/'Матрица квантования'!O10,0)</f>
        <v>3</v>
      </c>
      <c r="P10" s="2">
        <f>ROUNDDOWN('Част. предст. изобр.'!AG10/'Матрица квантования'!P10,0)</f>
        <v>8</v>
      </c>
      <c r="Q10" s="3">
        <f>ROUNDDOWN('Част. предст. изобр.'!AH10/'Матрица квантования'!Q10,0)</f>
        <v>-1</v>
      </c>
    </row>
    <row r="11" spans="1:17" ht="40.049999999999997" customHeight="1" x14ac:dyDescent="0.3">
      <c r="A11" s="63">
        <v>9</v>
      </c>
      <c r="B11" s="47">
        <f>ROUNDDOWN('Част. предст. изобр.'!S11/'Матрица квантования'!B11,0)</f>
        <v>-2</v>
      </c>
      <c r="C11" s="45">
        <f>ROUNDDOWN('Част. предст. изобр.'!T11/'Матрица квантования'!C11,0)</f>
        <v>-23</v>
      </c>
      <c r="D11" s="45">
        <f>ROUNDDOWN('Част. предст. изобр.'!U11/'Матрица квантования'!D11,0)</f>
        <v>23</v>
      </c>
      <c r="E11" s="45">
        <f>ROUNDDOWN('Част. предст. изобр.'!V11/'Матрица квантования'!E11,0)</f>
        <v>1</v>
      </c>
      <c r="F11" s="45">
        <f>ROUNDDOWN('Част. предст. изобр.'!W11/'Матрица квантования'!F11,0)</f>
        <v>2</v>
      </c>
      <c r="G11" s="45">
        <f>ROUNDDOWN('Част. предст. изобр.'!X11/'Матрица квантования'!G11,0)</f>
        <v>-2</v>
      </c>
      <c r="H11" s="45">
        <f>ROUNDDOWN('Част. предст. изобр.'!Y11/'Матрица квантования'!H11,0)</f>
        <v>-4</v>
      </c>
      <c r="I11" s="46">
        <f>ROUNDDOWN('Част. предст. изобр.'!Z11/'Матрица квантования'!I11,0)</f>
        <v>-2</v>
      </c>
      <c r="J11" s="7">
        <f>ROUNDDOWN('Част. предст. изобр.'!AA11/'Матрица квантования'!J11,0)</f>
        <v>30</v>
      </c>
      <c r="K11" s="8">
        <f>ROUNDDOWN('Част. предст. изобр.'!AB11/'Матрица квантования'!K11,0)</f>
        <v>28</v>
      </c>
      <c r="L11" s="8">
        <f>ROUNDDOWN('Част. предст. изобр.'!AC11/'Матрица квантования'!L11,0)</f>
        <v>11</v>
      </c>
      <c r="M11" s="8">
        <f>ROUNDDOWN('Част. предст. изобр.'!AD11/'Матрица квантования'!M11,0)</f>
        <v>-5</v>
      </c>
      <c r="N11" s="8">
        <f>ROUNDDOWN('Част. предст. изобр.'!AE11/'Матрица квантования'!N11,0)</f>
        <v>-5</v>
      </c>
      <c r="O11" s="8">
        <f>ROUNDDOWN('Част. предст. изобр.'!AF11/'Матрица квантования'!O11,0)</f>
        <v>4</v>
      </c>
      <c r="P11" s="8">
        <f>ROUNDDOWN('Част. предст. изобр.'!AG11/'Матрица квантования'!P11,0)</f>
        <v>2</v>
      </c>
      <c r="Q11" s="9">
        <f>ROUNDDOWN('Част. предст. изобр.'!AH11/'Матрица квантования'!Q11,0)</f>
        <v>-3</v>
      </c>
    </row>
    <row r="12" spans="1:17" ht="40.049999999999997" customHeight="1" x14ac:dyDescent="0.3">
      <c r="A12" s="63">
        <v>10</v>
      </c>
      <c r="B12" s="47">
        <f>ROUNDDOWN('Част. предст. изобр.'!S12/'Матрица квантования'!B12,0)</f>
        <v>11</v>
      </c>
      <c r="C12" s="45">
        <f>ROUNDDOWN('Част. предст. изобр.'!T12/'Матрица квантования'!C12,0)</f>
        <v>-7</v>
      </c>
      <c r="D12" s="45">
        <f>ROUNDDOWN('Част. предст. изобр.'!U12/'Матрица квантования'!D12,0)</f>
        <v>-2</v>
      </c>
      <c r="E12" s="45">
        <f>ROUNDDOWN('Част. предст. изобр.'!V12/'Матрица квантования'!E12,0)</f>
        <v>0</v>
      </c>
      <c r="F12" s="45">
        <f>ROUNDDOWN('Част. предст. изобр.'!W12/'Матрица квантования'!F12,0)</f>
        <v>6</v>
      </c>
      <c r="G12" s="45">
        <f>ROUNDDOWN('Част. предст. изобр.'!X12/'Матрица квантования'!G12,0)</f>
        <v>-3</v>
      </c>
      <c r="H12" s="45">
        <f>ROUNDDOWN('Част. предст. изобр.'!Y12/'Матрица квантования'!H12,0)</f>
        <v>1</v>
      </c>
      <c r="I12" s="46">
        <f>ROUNDDOWN('Част. предст. изобр.'!Z12/'Матрица квантования'!I12,0)</f>
        <v>-1</v>
      </c>
      <c r="J12" s="7">
        <f>ROUNDDOWN('Част. предст. изобр.'!AA12/'Матрица квантования'!J12,0)</f>
        <v>18</v>
      </c>
      <c r="K12" s="8">
        <f>ROUNDDOWN('Част. предст. изобр.'!AB12/'Матрица квантования'!K12,0)</f>
        <v>15</v>
      </c>
      <c r="L12" s="8">
        <f>ROUNDDOWN('Част. предст. изобр.'!AC12/'Матрица квантования'!L12,0)</f>
        <v>2</v>
      </c>
      <c r="M12" s="8">
        <f>ROUNDDOWN('Част. предст. изобр.'!AD12/'Матрица квантования'!M12,0)</f>
        <v>0</v>
      </c>
      <c r="N12" s="8">
        <f>ROUNDDOWN('Част. предст. изобр.'!AE12/'Матрица квантования'!N12,0)</f>
        <v>5</v>
      </c>
      <c r="O12" s="8">
        <f>ROUNDDOWN('Част. предст. изобр.'!AF12/'Матрица квантования'!O12,0)</f>
        <v>2</v>
      </c>
      <c r="P12" s="8">
        <f>ROUNDDOWN('Част. предст. изобр.'!AG12/'Матрица квантования'!P12,0)</f>
        <v>-2</v>
      </c>
      <c r="Q12" s="9">
        <f>ROUNDDOWN('Част. предст. изобр.'!AH12/'Матрица квантования'!Q12,0)</f>
        <v>-2</v>
      </c>
    </row>
    <row r="13" spans="1:17" ht="40.049999999999997" customHeight="1" x14ac:dyDescent="0.3">
      <c r="A13" s="63">
        <v>11</v>
      </c>
      <c r="B13" s="47">
        <f>ROUNDDOWN('Част. предст. изобр.'!S13/'Матрица квантования'!B13,0)</f>
        <v>-3</v>
      </c>
      <c r="C13" s="45">
        <f>ROUNDDOWN('Част. предст. изобр.'!T13/'Матрица квантования'!C13,0)</f>
        <v>7</v>
      </c>
      <c r="D13" s="45">
        <f>ROUNDDOWN('Част. предст. изобр.'!U13/'Матрица квантования'!D13,0)</f>
        <v>-2</v>
      </c>
      <c r="E13" s="45">
        <f>ROUNDDOWN('Част. предст. изобр.'!V13/'Матрица квантования'!E13,0)</f>
        <v>-4</v>
      </c>
      <c r="F13" s="45">
        <f>ROUNDDOWN('Част. предст. изобр.'!W13/'Матрица квантования'!F13,0)</f>
        <v>-1</v>
      </c>
      <c r="G13" s="45">
        <f>ROUNDDOWN('Част. предст. изобр.'!X13/'Матрица квантования'!G13,0)</f>
        <v>5</v>
      </c>
      <c r="H13" s="45">
        <f>ROUNDDOWN('Част. предст. изобр.'!Y13/'Матрица квантования'!H13,0)</f>
        <v>-1</v>
      </c>
      <c r="I13" s="46">
        <f>ROUNDDOWN('Част. предст. изобр.'!Z13/'Матрица квантования'!I13,0)</f>
        <v>0</v>
      </c>
      <c r="J13" s="7">
        <f>ROUNDDOWN('Част. предст. изобр.'!AA13/'Матрица квантования'!J13,0)</f>
        <v>-10</v>
      </c>
      <c r="K13" s="8">
        <f>ROUNDDOWN('Част. предст. изобр.'!AB13/'Матрица квантования'!K13,0)</f>
        <v>-9</v>
      </c>
      <c r="L13" s="8">
        <f>ROUNDDOWN('Част. предст. изобр.'!AC13/'Матрица квантования'!L13,0)</f>
        <v>-3</v>
      </c>
      <c r="M13" s="8">
        <f>ROUNDDOWN('Част. предст. изобр.'!AD13/'Матрица квантования'!M13,0)</f>
        <v>0</v>
      </c>
      <c r="N13" s="8">
        <f>ROUNDDOWN('Част. предст. изобр.'!AE13/'Матрица квантования'!N13,0)</f>
        <v>0</v>
      </c>
      <c r="O13" s="8">
        <f>ROUNDDOWN('Част. предст. изобр.'!AF13/'Матрица квантования'!O13,0)</f>
        <v>0</v>
      </c>
      <c r="P13" s="8">
        <f>ROUNDDOWN('Част. предст. изобр.'!AG13/'Матрица квантования'!P13,0)</f>
        <v>1</v>
      </c>
      <c r="Q13" s="9">
        <f>ROUNDDOWN('Част. предст. изобр.'!AH13/'Матрица квантования'!Q13,0)</f>
        <v>1</v>
      </c>
    </row>
    <row r="14" spans="1:17" ht="40.049999999999997" customHeight="1" x14ac:dyDescent="0.3">
      <c r="A14" s="63">
        <v>12</v>
      </c>
      <c r="B14" s="47">
        <f>ROUNDDOWN('Част. предст. изобр.'!S14/'Матрица квантования'!B14,0)</f>
        <v>6</v>
      </c>
      <c r="C14" s="45">
        <f>ROUNDDOWN('Част. предст. изобр.'!T14/'Матрица квантования'!C14,0)</f>
        <v>-7</v>
      </c>
      <c r="D14" s="45">
        <f>ROUNDDOWN('Част. предст. изобр.'!U14/'Матрица квантования'!D14,0)</f>
        <v>2</v>
      </c>
      <c r="E14" s="45">
        <f>ROUNDDOWN('Част. предст. изобр.'!V14/'Матрица квантования'!E14,0)</f>
        <v>2</v>
      </c>
      <c r="F14" s="45">
        <f>ROUNDDOWN('Част. предст. изобр.'!W14/'Матрица квантования'!F14,0)</f>
        <v>-4</v>
      </c>
      <c r="G14" s="45">
        <f>ROUNDDOWN('Част. предст. изобр.'!X14/'Матрица квантования'!G14,0)</f>
        <v>0</v>
      </c>
      <c r="H14" s="45">
        <f>ROUNDDOWN('Част. предст. изобр.'!Y14/'Матрица квантования'!H14,0)</f>
        <v>1</v>
      </c>
      <c r="I14" s="46">
        <f>ROUNDDOWN('Част. предст. изобр.'!Z14/'Матрица квантования'!I14,0)</f>
        <v>0</v>
      </c>
      <c r="J14" s="7">
        <f>ROUNDDOWN('Част. предст. изобр.'!AA14/'Матрица квантования'!J14,0)</f>
        <v>1</v>
      </c>
      <c r="K14" s="8">
        <f>ROUNDDOWN('Част. предст. изобр.'!AB14/'Матрица квантования'!K14,0)</f>
        <v>-1</v>
      </c>
      <c r="L14" s="8">
        <f>ROUNDDOWN('Част. предст. изобр.'!AC14/'Матрица квантования'!L14,0)</f>
        <v>-5</v>
      </c>
      <c r="M14" s="8">
        <f>ROUNDDOWN('Част. предст. изобр.'!AD14/'Матрица квантования'!M14,0)</f>
        <v>-2</v>
      </c>
      <c r="N14" s="8">
        <f>ROUNDDOWN('Част. предст. изобр.'!AE14/'Матрица квантования'!N14,0)</f>
        <v>0</v>
      </c>
      <c r="O14" s="8">
        <f>ROUNDDOWN('Част. предст. изобр.'!AF14/'Матрица квантования'!O14,0)</f>
        <v>1</v>
      </c>
      <c r="P14" s="8">
        <f>ROUNDDOWN('Част. предст. изобр.'!AG14/'Матрица квантования'!P14,0)</f>
        <v>1</v>
      </c>
      <c r="Q14" s="9">
        <f>ROUNDDOWN('Част. предст. изобр.'!AH14/'Матрица квантования'!Q14,0)</f>
        <v>0</v>
      </c>
    </row>
    <row r="15" spans="1:17" ht="40.049999999999997" customHeight="1" x14ac:dyDescent="0.3">
      <c r="A15" s="63">
        <v>13</v>
      </c>
      <c r="B15" s="47">
        <f>ROUNDDOWN('Част. предст. изобр.'!S15/'Матрица квантования'!B15,0)</f>
        <v>-7</v>
      </c>
      <c r="C15" s="45">
        <f>ROUNDDOWN('Част. предст. изобр.'!T15/'Матрица квантования'!C15,0)</f>
        <v>5</v>
      </c>
      <c r="D15" s="45">
        <f>ROUNDDOWN('Част. предст. изобр.'!U15/'Матрица квантования'!D15,0)</f>
        <v>0</v>
      </c>
      <c r="E15" s="45">
        <f>ROUNDDOWN('Част. предст. изобр.'!V15/'Матрица квантования'!E15,0)</f>
        <v>0</v>
      </c>
      <c r="F15" s="45">
        <f>ROUNDDOWN('Част. предст. изобр.'!W15/'Матрица квантования'!F15,0)</f>
        <v>0</v>
      </c>
      <c r="G15" s="45">
        <f>ROUNDDOWN('Част. предст. изобр.'!X15/'Матрица квантования'!G15,0)</f>
        <v>-1</v>
      </c>
      <c r="H15" s="45">
        <f>ROUNDDOWN('Част. предст. изобр.'!Y15/'Матрица квантования'!H15,0)</f>
        <v>0</v>
      </c>
      <c r="I15" s="46">
        <f>ROUNDDOWN('Част. предст. изобр.'!Z15/'Матрица квантования'!I15,0)</f>
        <v>0</v>
      </c>
      <c r="J15" s="7">
        <f>ROUNDDOWN('Част. предст. изобр.'!AA15/'Матрица квантования'!J15,0)</f>
        <v>-5</v>
      </c>
      <c r="K15" s="8">
        <f>ROUNDDOWN('Част. предст. изобр.'!AB15/'Матрица квантования'!K15,0)</f>
        <v>-4</v>
      </c>
      <c r="L15" s="8">
        <f>ROUNDDOWN('Част. предст. изобр.'!AC15/'Матрица квантования'!L15,0)</f>
        <v>1</v>
      </c>
      <c r="M15" s="8">
        <f>ROUNDDOWN('Част. предст. изобр.'!AD15/'Матрица квантования'!M15,0)</f>
        <v>2</v>
      </c>
      <c r="N15" s="8">
        <f>ROUNDDOWN('Част. предст. изобр.'!AE15/'Матрица квантования'!N15,0)</f>
        <v>1</v>
      </c>
      <c r="O15" s="8">
        <f>ROUNDDOWN('Част. предст. изобр.'!AF15/'Матрица квантования'!O15,0)</f>
        <v>0</v>
      </c>
      <c r="P15" s="8">
        <f>ROUNDDOWN('Част. предст. изобр.'!AG15/'Матрица квантования'!P15,0)</f>
        <v>0</v>
      </c>
      <c r="Q15" s="9">
        <f>ROUNDDOWN('Част. предст. изобр.'!AH15/'Матрица квантования'!Q15,0)</f>
        <v>0</v>
      </c>
    </row>
    <row r="16" spans="1:17" ht="40.049999999999997" customHeight="1" x14ac:dyDescent="0.3">
      <c r="A16" s="63">
        <v>14</v>
      </c>
      <c r="B16" s="47">
        <f>ROUNDDOWN('Част. предст. изобр.'!S16/'Матрица квантования'!B16,0)</f>
        <v>3</v>
      </c>
      <c r="C16" s="45">
        <f>ROUNDDOWN('Част. предст. изобр.'!T16/'Матрица квантования'!C16,0)</f>
        <v>-3</v>
      </c>
      <c r="D16" s="45">
        <f>ROUNDDOWN('Част. предст. изобр.'!U16/'Матрица квантования'!D16,0)</f>
        <v>0</v>
      </c>
      <c r="E16" s="45">
        <f>ROUNDDOWN('Част. предст. изобр.'!V16/'Матрица квантования'!E16,0)</f>
        <v>0</v>
      </c>
      <c r="F16" s="45">
        <f>ROUNDDOWN('Част. предст. изобр.'!W16/'Матрица квантования'!F16,0)</f>
        <v>0</v>
      </c>
      <c r="G16" s="45">
        <f>ROUNDDOWN('Част. предст. изобр.'!X16/'Матрица квантования'!G16,0)</f>
        <v>0</v>
      </c>
      <c r="H16" s="45">
        <f>ROUNDDOWN('Част. предст. изобр.'!Y16/'Матрица квантования'!H16,0)</f>
        <v>-1</v>
      </c>
      <c r="I16" s="46">
        <f>ROUNDDOWN('Част. предст. изобр.'!Z16/'Матрица квантования'!I16,0)</f>
        <v>0</v>
      </c>
      <c r="J16" s="7">
        <f>ROUNDDOWN('Част. предст. изобр.'!AA16/'Матрица квантования'!J16,0)</f>
        <v>3</v>
      </c>
      <c r="K16" s="8">
        <f>ROUNDDOWN('Част. предст. изобр.'!AB16/'Матрица квантования'!K16,0)</f>
        <v>2</v>
      </c>
      <c r="L16" s="8">
        <f>ROUNDDOWN('Част. предст. изобр.'!AC16/'Матрица квантования'!L16,0)</f>
        <v>0</v>
      </c>
      <c r="M16" s="8">
        <f>ROUNDDOWN('Част. предст. изобр.'!AD16/'Матрица квантования'!M16,0)</f>
        <v>0</v>
      </c>
      <c r="N16" s="8">
        <f>ROUNDDOWN('Част. предст. изобр.'!AE16/'Матрица квантования'!N16,0)</f>
        <v>0</v>
      </c>
      <c r="O16" s="8">
        <f>ROUNDDOWN('Част. предст. изобр.'!AF16/'Матрица квантования'!O16,0)</f>
        <v>0</v>
      </c>
      <c r="P16" s="8">
        <f>ROUNDDOWN('Част. предст. изобр.'!AG16/'Матрица квантования'!P16,0)</f>
        <v>0</v>
      </c>
      <c r="Q16" s="9">
        <f>ROUNDDOWN('Част. предст. изобр.'!AH16/'Матрица квантования'!Q16,0)</f>
        <v>0</v>
      </c>
    </row>
    <row r="17" spans="1:17" ht="40.049999999999997" customHeight="1" thickBot="1" x14ac:dyDescent="0.35">
      <c r="A17" s="64">
        <v>15</v>
      </c>
      <c r="B17" s="47">
        <f>ROUNDDOWN('Част. предст. изобр.'!S17/'Матрица квантования'!B17,0)</f>
        <v>0</v>
      </c>
      <c r="C17" s="45">
        <f>ROUNDDOWN('Част. предст. изобр.'!T17/'Матрица квантования'!C17,0)</f>
        <v>1</v>
      </c>
      <c r="D17" s="45">
        <f>ROUNDDOWN('Част. предст. изобр.'!U17/'Матрица квантования'!D17,0)</f>
        <v>-1</v>
      </c>
      <c r="E17" s="45">
        <f>ROUNDDOWN('Част. предст. изобр.'!V17/'Матрица квантования'!E17,0)</f>
        <v>0</v>
      </c>
      <c r="F17" s="45">
        <f>ROUNDDOWN('Част. предст. изобр.'!W17/'Матрица квантования'!F17,0)</f>
        <v>0</v>
      </c>
      <c r="G17" s="45">
        <f>ROUNDDOWN('Част. предст. изобр.'!X17/'Матрица квантования'!G17,0)</f>
        <v>0</v>
      </c>
      <c r="H17" s="45">
        <f>ROUNDDOWN('Част. предст. изобр.'!Y17/'Матрица квантования'!H17,0)</f>
        <v>0</v>
      </c>
      <c r="I17" s="46">
        <f>ROUNDDOWN('Част. предст. изобр.'!Z17/'Матрица квантования'!I17,0)</f>
        <v>0</v>
      </c>
      <c r="J17" s="13">
        <f>ROUNDDOWN('Част. предст. изобр.'!AA17/'Матрица квантования'!J17,0)</f>
        <v>0</v>
      </c>
      <c r="K17" s="14">
        <f>ROUNDDOWN('Част. предст. изобр.'!AB17/'Матрица квантования'!K17,0)</f>
        <v>0</v>
      </c>
      <c r="L17" s="14">
        <f>ROUNDDOWN('Част. предст. изобр.'!AC17/'Матрица квантования'!L17,0)</f>
        <v>0</v>
      </c>
      <c r="M17" s="14">
        <f>ROUNDDOWN('Част. предст. изобр.'!AD17/'Матрица квантования'!M17,0)</f>
        <v>0</v>
      </c>
      <c r="N17" s="14">
        <f>ROUNDDOWN('Част. предст. изобр.'!AE17/'Матрица квантования'!N17,0)</f>
        <v>0</v>
      </c>
      <c r="O17" s="14">
        <f>ROUNDDOWN('Част. предст. изобр.'!AF17/'Матрица квантования'!O17,0)</f>
        <v>0</v>
      </c>
      <c r="P17" s="14">
        <f>ROUNDDOWN('Част. предст. изобр.'!AG17/'Матрица квантования'!P17,0)</f>
        <v>0</v>
      </c>
      <c r="Q17" s="15">
        <f>ROUNDDOWN('Част. предст. изобр.'!AH17/'Матрица квантования'!Q17,0)</f>
        <v>0</v>
      </c>
    </row>
    <row r="18" spans="1:17" ht="15" thickBot="1" x14ac:dyDescent="0.35"/>
    <row r="19" spans="1:17" ht="15" thickBot="1" x14ac:dyDescent="0.35">
      <c r="B19" s="98" t="s">
        <v>5</v>
      </c>
      <c r="C19" s="99"/>
      <c r="D19" s="99"/>
      <c r="E19" s="99"/>
      <c r="F19" s="99"/>
      <c r="G19" s="99"/>
      <c r="H19" s="100"/>
    </row>
  </sheetData>
  <mergeCells count="1">
    <mergeCell ref="B19:H19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D4AAE-D35A-4640-A242-8BFE228BCDCC}">
  <dimension ref="A1:BA37"/>
  <sheetViews>
    <sheetView zoomScale="69" zoomScaleNormal="69" workbookViewId="0">
      <selection activeCell="B2" sqref="B2"/>
    </sheetView>
  </sheetViews>
  <sheetFormatPr defaultRowHeight="14.4" x14ac:dyDescent="0.3"/>
  <cols>
    <col min="56" max="66" width="12.6640625" bestFit="1" customWidth="1"/>
    <col min="67" max="67" width="10.6640625" bestFit="1" customWidth="1"/>
    <col min="68" max="71" width="12.6640625" bestFit="1" customWidth="1"/>
  </cols>
  <sheetData>
    <row r="1" spans="1:35" ht="40.049999999999997" customHeight="1" thickBot="1" x14ac:dyDescent="0.35">
      <c r="B1" s="20">
        <v>0</v>
      </c>
      <c r="C1" s="20">
        <v>1</v>
      </c>
      <c r="D1" s="20">
        <v>2</v>
      </c>
      <c r="E1" s="20">
        <v>3</v>
      </c>
      <c r="F1" s="20">
        <v>4</v>
      </c>
      <c r="G1" s="20">
        <v>5</v>
      </c>
      <c r="H1" s="20">
        <v>6</v>
      </c>
      <c r="I1" s="20">
        <v>7</v>
      </c>
      <c r="J1" s="20">
        <v>8</v>
      </c>
      <c r="K1" s="20">
        <v>9</v>
      </c>
      <c r="L1" s="20">
        <v>10</v>
      </c>
      <c r="M1" s="20">
        <v>11</v>
      </c>
      <c r="N1" s="20">
        <v>12</v>
      </c>
      <c r="O1" s="20">
        <v>13</v>
      </c>
      <c r="P1" s="20">
        <v>14</v>
      </c>
      <c r="Q1" s="20">
        <v>15</v>
      </c>
      <c r="T1" s="20">
        <v>0</v>
      </c>
      <c r="U1" s="20">
        <v>1</v>
      </c>
      <c r="V1" s="20">
        <v>2</v>
      </c>
      <c r="W1" s="20">
        <v>3</v>
      </c>
      <c r="X1" s="20">
        <v>4</v>
      </c>
      <c r="Y1" s="20">
        <v>5</v>
      </c>
      <c r="Z1" s="20">
        <v>6</v>
      </c>
      <c r="AA1" s="20">
        <v>7</v>
      </c>
      <c r="AB1" s="20">
        <v>8</v>
      </c>
      <c r="AC1" s="20">
        <v>9</v>
      </c>
      <c r="AD1" s="20">
        <v>10</v>
      </c>
      <c r="AE1" s="20">
        <v>11</v>
      </c>
      <c r="AF1" s="20">
        <v>12</v>
      </c>
      <c r="AG1" s="20">
        <v>13</v>
      </c>
      <c r="AH1" s="20">
        <v>14</v>
      </c>
      <c r="AI1" s="20">
        <v>15</v>
      </c>
    </row>
    <row r="2" spans="1:35" ht="40.049999999999997" customHeight="1" thickBot="1" x14ac:dyDescent="0.35">
      <c r="A2" s="20">
        <v>0</v>
      </c>
      <c r="B2" s="22">
        <f>IF(AL22 &gt; 255, 255, IF(AL22&lt;0,0,AL22))</f>
        <v>132</v>
      </c>
      <c r="C2" s="22">
        <f t="shared" ref="C2:Q2" si="0">IF(AM22 &gt; 255, 255, IF(AM22&lt;0,0,AM22))</f>
        <v>173</v>
      </c>
      <c r="D2" s="22">
        <f t="shared" si="0"/>
        <v>187</v>
      </c>
      <c r="E2" s="22">
        <f t="shared" si="0"/>
        <v>188</v>
      </c>
      <c r="F2" s="22">
        <f t="shared" si="0"/>
        <v>204</v>
      </c>
      <c r="G2" s="22">
        <f t="shared" si="0"/>
        <v>229</v>
      </c>
      <c r="H2" s="22">
        <f t="shared" si="0"/>
        <v>217</v>
      </c>
      <c r="I2" s="22">
        <f t="shared" si="0"/>
        <v>221</v>
      </c>
      <c r="J2" s="22">
        <f t="shared" si="0"/>
        <v>198</v>
      </c>
      <c r="K2" s="22">
        <f t="shared" si="0"/>
        <v>189</v>
      </c>
      <c r="L2" s="22">
        <f t="shared" si="0"/>
        <v>188</v>
      </c>
      <c r="M2" s="22">
        <f t="shared" si="0"/>
        <v>188</v>
      </c>
      <c r="N2" s="22">
        <f t="shared" si="0"/>
        <v>197</v>
      </c>
      <c r="O2" s="22">
        <f t="shared" si="0"/>
        <v>163</v>
      </c>
      <c r="P2" s="22">
        <f t="shared" si="0"/>
        <v>149</v>
      </c>
      <c r="Q2" s="22">
        <f t="shared" si="0"/>
        <v>108</v>
      </c>
      <c r="S2" s="20">
        <v>0</v>
      </c>
      <c r="T2" s="22">
        <f>ROUNDUP(0.299 * 229 + 0.587 * 92 + 0.114 * 87, 0)</f>
        <v>133</v>
      </c>
      <c r="U2" s="23">
        <f>ROUNDUP(0.299 * 242 + 0.587 * 145 + 0.114 * 90, 0)</f>
        <v>168</v>
      </c>
      <c r="V2" s="23">
        <f>ROUNDUP(0.299 * 242 + 0.587 * 172 + 0.114 * 91, 0)</f>
        <v>184</v>
      </c>
      <c r="W2" s="23">
        <f>ROUNDUP(0.299 * 242 + 0.587 * 175 + 0.114 * 91, 0)</f>
        <v>186</v>
      </c>
      <c r="X2" s="23">
        <f>ROUNDUP(0.299 * 242 + 0.587 * 208 + 0.114 * 91, 0)</f>
        <v>205</v>
      </c>
      <c r="Y2" s="23">
        <f>ROUNDUP(0.299 * 242 + 0.587 * 236 + 0.114 * 91, 0)</f>
        <v>222</v>
      </c>
      <c r="Z2" s="23">
        <f>ROUNDUP(0.299 * 242 + 0.587 * 242 + 0.114 * 95, 0)</f>
        <v>226</v>
      </c>
      <c r="AA2" s="24">
        <f>ROUNDUP(0.299 * 211 + 0.587 * 243 + 0.114 * 97, 0)</f>
        <v>217</v>
      </c>
      <c r="AB2" s="25">
        <f>ROUNDUP(0.299 * 147 + 0.587 * 245 + 0.114 * 92, 0)</f>
        <v>199</v>
      </c>
      <c r="AC2" s="26">
        <f>ROUNDUP(0.299 * 99 + 0.587 * 244 + 0.114 * 102, 0)</f>
        <v>185</v>
      </c>
      <c r="AD2" s="26">
        <f>ROUNDUP(0.299 * 86 + 0.587 * 242 + 0.114 * 147, 0)</f>
        <v>185</v>
      </c>
      <c r="AE2" s="26">
        <f>ROUNDUP(0.299 * 91 + 0.587 * 242 + 0.114 * 214, 0)</f>
        <v>194</v>
      </c>
      <c r="AF2" s="26">
        <f>ROUNDUP(0.299 * 91 + 0.587 * 232 + 0.114 * 242, 0)</f>
        <v>191</v>
      </c>
      <c r="AG2" s="26">
        <f>ROUNDUP(0.299 * 91 + 0.587 * 204 + 0.114 * 242, 0)</f>
        <v>175</v>
      </c>
      <c r="AH2" s="26">
        <f>ROUNDUP(0.299 * 90 + 0.587 * 153 + 0.114 * 242, 0)</f>
        <v>145</v>
      </c>
      <c r="AI2" s="27">
        <f>ROUNDUP(0.299 * 88 + 0.587 * 101 + 0.114 * 229, 0)</f>
        <v>112</v>
      </c>
    </row>
    <row r="3" spans="1:35" ht="40.049999999999997" customHeight="1" thickBot="1" x14ac:dyDescent="0.35">
      <c r="A3" s="20">
        <v>1</v>
      </c>
      <c r="B3" s="22">
        <f t="shared" ref="B3:B17" si="1">IF(AL23 &gt; 255, 255, IF(AL23&lt;0,0,AL23))</f>
        <v>153</v>
      </c>
      <c r="C3" s="22">
        <f t="shared" ref="C3:C17" si="2">IF(AM23 &gt; 255, 255, IF(AM23&lt;0,0,AM23))</f>
        <v>179</v>
      </c>
      <c r="D3" s="22">
        <f t="shared" ref="D3:D17" si="3">IF(AN23 &gt; 255, 255, IF(AN23&lt;0,0,AN23))</f>
        <v>178</v>
      </c>
      <c r="E3" s="22">
        <f t="shared" ref="E3:E17" si="4">IF(AO23 &gt; 255, 255, IF(AO23&lt;0,0,AO23))</f>
        <v>198</v>
      </c>
      <c r="F3" s="22">
        <f t="shared" ref="F3:F17" si="5">IF(AP23 &gt; 255, 255, IF(AP23&lt;0,0,AP23))</f>
        <v>196</v>
      </c>
      <c r="G3" s="22">
        <f t="shared" ref="G3:G17" si="6">IF(AQ23 &gt; 255, 255, IF(AQ23&lt;0,0,AQ23))</f>
        <v>236</v>
      </c>
      <c r="H3" s="22">
        <f t="shared" ref="H3:H17" si="7">IF(AR23 &gt; 255, 255, IF(AR23&lt;0,0,AR23))</f>
        <v>234</v>
      </c>
      <c r="I3" s="22">
        <f t="shared" ref="I3:I17" si="8">IF(AS23 &gt; 255, 255, IF(AS23&lt;0,0,AS23))</f>
        <v>204</v>
      </c>
      <c r="J3" s="22">
        <f t="shared" ref="J3:J17" si="9">IF(AT23 &gt; 255, 255, IF(AT23&lt;0,0,AT23))</f>
        <v>189</v>
      </c>
      <c r="K3" s="22">
        <f t="shared" ref="K3:K17" si="10">IF(AU23 &gt; 255, 255, IF(AU23&lt;0,0,AU23))</f>
        <v>195</v>
      </c>
      <c r="L3" s="22">
        <f t="shared" ref="L3:L17" si="11">IF(AV23 &gt; 255, 255, IF(AV23&lt;0,0,AV23))</f>
        <v>199</v>
      </c>
      <c r="M3" s="22">
        <f t="shared" ref="M3:M17" si="12">IF(AW23 &gt; 255, 255, IF(AW23&lt;0,0,AW23))</f>
        <v>198</v>
      </c>
      <c r="N3" s="22">
        <f t="shared" ref="N3:N17" si="13">IF(AX23 &gt; 255, 255, IF(AX23&lt;0,0,AX23))</f>
        <v>203</v>
      </c>
      <c r="O3" s="22">
        <f t="shared" ref="O3:O17" si="14">IF(AY23 &gt; 255, 255, IF(AY23&lt;0,0,AY23))</f>
        <v>174</v>
      </c>
      <c r="P3" s="22">
        <f t="shared" ref="P3:P17" si="15">IF(AZ23 &gt; 255, 255, IF(AZ23&lt;0,0,AZ23))</f>
        <v>142</v>
      </c>
      <c r="Q3" s="22">
        <f t="shared" ref="Q3:Q17" si="16">IF(BA23 &gt; 255, 255, IF(BA23&lt;0,0,BA23))</f>
        <v>133</v>
      </c>
      <c r="S3" s="20">
        <v>1</v>
      </c>
      <c r="T3" s="28">
        <f>ROUNDUP(0.299 * 255 + 0.587 * 99 + 0.114 * 94, 0)</f>
        <v>146</v>
      </c>
      <c r="U3" s="29">
        <f>ROUNDUP(0.299 * 255 + 0.587 * 150 + 0.114 * 92, 0)</f>
        <v>175</v>
      </c>
      <c r="V3" s="29">
        <f>ROUNDUP(0.299 * 255 + 0.587 * 179 + 0.114 * 93, 0)</f>
        <v>192</v>
      </c>
      <c r="W3" s="29">
        <f>ROUNDUP(0.299 * 255 + 0.587 * 182 + 0.114 * 92, 0)</f>
        <v>194</v>
      </c>
      <c r="X3" s="29">
        <f>ROUNDUP(0.299 * 255 + 0.587 * 216 + 0.114 * 92, 0)</f>
        <v>214</v>
      </c>
      <c r="Y3" s="29">
        <f>ROUNDUP(0.299 * 255 + 0.587 * 255 + 0.114 * 108, 0)</f>
        <v>239</v>
      </c>
      <c r="Z3" s="29">
        <f>ROUNDUP(0.299 * 250 + 0.587 * 255 + 0.114 * 84, 0)</f>
        <v>235</v>
      </c>
      <c r="AA3" s="30">
        <f>ROUNDUP(0.299 * 208 + 0.587 * 246 + 0.114 * 91, 0)</f>
        <v>217</v>
      </c>
      <c r="AB3" s="31">
        <f>ROUNDUP(0.299 * 134 + 0.587 * 254 + 0.114 * 97, 0)</f>
        <v>201</v>
      </c>
      <c r="AC3" s="32">
        <f>ROUNDUP(0.299 * 98 + 0.587 * 253 + 0.114 * 102, 0)</f>
        <v>190</v>
      </c>
      <c r="AD3" s="32">
        <f>ROUNDUP(0.299 * 101 + 0.587 * 255 + 0.114 * 175, 0)</f>
        <v>200</v>
      </c>
      <c r="AE3" s="32">
        <f>ROUNDUP(0.299 * 102 + 0.587 * 255 + 0.114 * 243, 0)</f>
        <v>208</v>
      </c>
      <c r="AF3" s="32">
        <f>ROUNDUP(0.299 * 90 + 0.587 * 242 + 0.114 * 255, 0)</f>
        <v>199</v>
      </c>
      <c r="AG3" s="32">
        <f>ROUNDUP(0.299 * 93 + 0.587 * 214 + 0.114 * 255, 0)</f>
        <v>183</v>
      </c>
      <c r="AH3" s="32">
        <f>ROUNDUP(0.299 * 92 + 0.587 * 158 + 0.114 * 255, 0)</f>
        <v>150</v>
      </c>
      <c r="AI3" s="33">
        <f>ROUNDUP(0.299 * 95 + 0.587 * 110 + 0.114 * 255, 0)</f>
        <v>123</v>
      </c>
    </row>
    <row r="4" spans="1:35" ht="40.049999999999997" customHeight="1" thickBot="1" x14ac:dyDescent="0.35">
      <c r="A4" s="20">
        <v>2</v>
      </c>
      <c r="B4" s="22">
        <f t="shared" si="1"/>
        <v>145</v>
      </c>
      <c r="C4" s="22">
        <f t="shared" si="2"/>
        <v>166</v>
      </c>
      <c r="D4" s="22">
        <f t="shared" si="3"/>
        <v>193</v>
      </c>
      <c r="E4" s="22">
        <f t="shared" si="4"/>
        <v>186</v>
      </c>
      <c r="F4" s="22">
        <f t="shared" si="5"/>
        <v>246</v>
      </c>
      <c r="G4" s="22">
        <f t="shared" si="6"/>
        <v>156</v>
      </c>
      <c r="H4" s="22">
        <f t="shared" si="7"/>
        <v>54</v>
      </c>
      <c r="I4" s="22">
        <f t="shared" si="8"/>
        <v>114</v>
      </c>
      <c r="J4" s="22">
        <f t="shared" si="9"/>
        <v>112</v>
      </c>
      <c r="K4" s="22">
        <f t="shared" si="10"/>
        <v>93</v>
      </c>
      <c r="L4" s="22">
        <f t="shared" si="11"/>
        <v>78</v>
      </c>
      <c r="M4" s="22">
        <f t="shared" si="12"/>
        <v>176</v>
      </c>
      <c r="N4" s="22">
        <f t="shared" si="13"/>
        <v>191</v>
      </c>
      <c r="O4" s="22">
        <f t="shared" si="14"/>
        <v>190</v>
      </c>
      <c r="P4" s="22">
        <f t="shared" si="15"/>
        <v>157</v>
      </c>
      <c r="Q4" s="22">
        <f t="shared" si="16"/>
        <v>120</v>
      </c>
      <c r="S4" s="20">
        <v>2</v>
      </c>
      <c r="T4" s="28">
        <f>ROUNDUP(0.299 * 242 + 0.587 * 95 + 0.114 * 90, 0)</f>
        <v>139</v>
      </c>
      <c r="U4" s="29">
        <f>ROUNDUP(0.299 * 255 + 0.587 * 151 + 0.114 * 93, 0)</f>
        <v>176</v>
      </c>
      <c r="V4" s="29">
        <f>ROUNDUP(0.299 * 255 + 0.587 * 180 + 0.114 * 94, 0)</f>
        <v>193</v>
      </c>
      <c r="W4" s="29">
        <f>ROUNDUP(0.299 * 255 + 0.587 * 179 + 0.114 * 93, 0)</f>
        <v>192</v>
      </c>
      <c r="X4" s="29">
        <f>ROUNDUP(0.299 * 255 + 0.587 * 255 + 0.114 * 113, 0)</f>
        <v>239</v>
      </c>
      <c r="Y4" s="29">
        <f>ROUNDUP(0.299 * 176 + 0.587 * 172 + 0.114 * 52, 0)</f>
        <v>160</v>
      </c>
      <c r="Z4" s="29">
        <f>ROUNDUP(0.299 * 44 + 0.587 * 48 + 0.114 * 24, 0)</f>
        <v>45</v>
      </c>
      <c r="AA4" s="30">
        <f>ROUNDUP(0.299 * 93 + 0.587 * 101 + 0.114 * 87, 0)</f>
        <v>98</v>
      </c>
      <c r="AB4" s="31">
        <f>ROUNDUP(0.299 * 98 + 0.587 * 110 + 0.114 * 96, 0)</f>
        <v>105</v>
      </c>
      <c r="AC4" s="32">
        <f>ROUNDUP(0.299 * 73 + 0.587 * 100 + 0.114 * 74, 0)</f>
        <v>89</v>
      </c>
      <c r="AD4" s="32">
        <f>ROUNDUP(0.299 * 37 + 0.587 * 107 + 0.114 * 62, 0)</f>
        <v>81</v>
      </c>
      <c r="AE4" s="32">
        <f>ROUNDUP(0.299 * 93 + 0.587 * 248 + 0.114 * 225, 0)</f>
        <v>200</v>
      </c>
      <c r="AF4" s="32">
        <f>ROUNDUP(0.299 * 104 + 0.587 * 255 + 0.114 * 255, 0)</f>
        <v>210</v>
      </c>
      <c r="AG4" s="32">
        <f>ROUNDUP(0.299 * 92 + 0.587 * 210 + 0.114 * 255, 0)</f>
        <v>180</v>
      </c>
      <c r="AH4" s="32">
        <f>ROUNDUP(0.299 * 93 + 0.587 * 159 + 0.114 * 255, 0)</f>
        <v>151</v>
      </c>
      <c r="AI4" s="33">
        <f>ROUNDUP(0.299 * 91 + 0.587 * 105 + 0.114 * 242, 0)</f>
        <v>117</v>
      </c>
    </row>
    <row r="5" spans="1:35" ht="40.049999999999997" customHeight="1" thickBot="1" x14ac:dyDescent="0.35">
      <c r="A5" s="20">
        <v>3</v>
      </c>
      <c r="B5" s="22">
        <f t="shared" si="1"/>
        <v>135</v>
      </c>
      <c r="C5" s="22">
        <f t="shared" si="2"/>
        <v>182</v>
      </c>
      <c r="D5" s="22">
        <f t="shared" si="3"/>
        <v>186</v>
      </c>
      <c r="E5" s="22">
        <f t="shared" si="4"/>
        <v>208</v>
      </c>
      <c r="F5" s="22">
        <f t="shared" si="5"/>
        <v>181</v>
      </c>
      <c r="G5" s="22">
        <f t="shared" si="6"/>
        <v>27</v>
      </c>
      <c r="H5" s="22">
        <f t="shared" si="7"/>
        <v>160</v>
      </c>
      <c r="I5" s="22">
        <f t="shared" si="8"/>
        <v>240</v>
      </c>
      <c r="J5" s="22">
        <f t="shared" si="9"/>
        <v>175</v>
      </c>
      <c r="K5" s="22">
        <f t="shared" si="10"/>
        <v>131</v>
      </c>
      <c r="L5" s="22">
        <f t="shared" si="11"/>
        <v>21</v>
      </c>
      <c r="M5" s="22">
        <f t="shared" si="12"/>
        <v>29</v>
      </c>
      <c r="N5" s="22">
        <f t="shared" si="13"/>
        <v>193</v>
      </c>
      <c r="O5" s="22">
        <f t="shared" si="14"/>
        <v>198</v>
      </c>
      <c r="P5" s="22">
        <f t="shared" si="15"/>
        <v>145</v>
      </c>
      <c r="Q5" s="22">
        <f t="shared" si="16"/>
        <v>111</v>
      </c>
      <c r="S5" s="20">
        <v>3</v>
      </c>
      <c r="T5" s="28">
        <f>ROUNDUP(0.299 * 242 + 0.587 * 95 + 0.114 * 90, 0)</f>
        <v>139</v>
      </c>
      <c r="U5" s="29">
        <f>ROUNDUP(0.299 * 255 + 0.587 * 151 + 0.114 * 93, 0)</f>
        <v>176</v>
      </c>
      <c r="V5" s="29">
        <f>ROUNDUP(0.299 * 255 + 0.587 * 180 + 0.114 * 94, 0)</f>
        <v>193</v>
      </c>
      <c r="W5" s="29">
        <f>ROUNDUP(0.299 * 255 + 0.587 * 201 + 0.114 * 101, 0)</f>
        <v>206</v>
      </c>
      <c r="X5" s="29">
        <f>ROUNDUP(0.299 * 228 + 0.587 * 206 + 0.114 * 76, 0)</f>
        <v>198</v>
      </c>
      <c r="Y5" s="29">
        <f>ROUNDUP(0.299 * 4 + 0.587 * 7 + 0.114 * 6, 0)</f>
        <v>6</v>
      </c>
      <c r="Z5" s="29">
        <f>ROUNDUP(0.299 * 155 + 0.587 * 161 + 0.114 * 203, 0)</f>
        <v>164</v>
      </c>
      <c r="AA5" s="30">
        <f>ROUNDUP(0.299 * 255 + 0.587 * 255 + 0.114 * 255, 0)</f>
        <v>255</v>
      </c>
      <c r="AB5" s="31">
        <f>ROUNDUP(0.299 * 194 + 0.587 * 182 + 0.114 * 203, 0)</f>
        <v>188</v>
      </c>
      <c r="AC5" s="32">
        <f>ROUNDUP(0.299 * 146 + 0.587 * 125 + 0.114 * 146, 0)</f>
        <v>134</v>
      </c>
      <c r="AD5" s="32">
        <f>ROUNDUP(0.299 * 11 + 0.587 * 0 + 0.114 * 0, 0)</f>
        <v>4</v>
      </c>
      <c r="AE5" s="32">
        <f>ROUNDUP(0.299 * 0 + 0.587 * 7 + 0.114 * 4, 0)</f>
        <v>5</v>
      </c>
      <c r="AF5" s="32">
        <f>ROUNDUP(0.299 * 109 + 0.587 * 255 + 0.114 * 255, 0)</f>
        <v>212</v>
      </c>
      <c r="AG5" s="32">
        <f>ROUNDUP(0.299 * 103 + 0.587 * 233 + 0.114 * 255, 0)</f>
        <v>197</v>
      </c>
      <c r="AH5" s="32">
        <f>ROUNDUP(0.299 * 92 + 0.587 * 156 + 0.114 * 255, 0)</f>
        <v>149</v>
      </c>
      <c r="AI5" s="33">
        <f>ROUNDUP(0.299 * 91 + 0.587 * 105 + 0.114 * 242, 0)</f>
        <v>117</v>
      </c>
    </row>
    <row r="6" spans="1:35" ht="40.049999999999997" customHeight="1" thickBot="1" x14ac:dyDescent="0.35">
      <c r="A6" s="20">
        <v>4</v>
      </c>
      <c r="B6" s="22">
        <f t="shared" si="1"/>
        <v>136</v>
      </c>
      <c r="C6" s="22">
        <f t="shared" si="2"/>
        <v>170</v>
      </c>
      <c r="D6" s="22">
        <f t="shared" si="3"/>
        <v>196</v>
      </c>
      <c r="E6" s="22">
        <f t="shared" si="4"/>
        <v>224</v>
      </c>
      <c r="F6" s="22">
        <f t="shared" si="5"/>
        <v>97</v>
      </c>
      <c r="G6" s="22">
        <f t="shared" si="6"/>
        <v>73</v>
      </c>
      <c r="H6" s="22">
        <f t="shared" si="7"/>
        <v>245</v>
      </c>
      <c r="I6" s="22">
        <f t="shared" si="8"/>
        <v>88</v>
      </c>
      <c r="J6" s="22">
        <f t="shared" si="9"/>
        <v>93</v>
      </c>
      <c r="K6" s="22">
        <f t="shared" si="10"/>
        <v>158</v>
      </c>
      <c r="L6" s="22">
        <f t="shared" si="11"/>
        <v>141</v>
      </c>
      <c r="M6" s="22">
        <f t="shared" si="12"/>
        <v>54</v>
      </c>
      <c r="N6" s="22">
        <f t="shared" si="13"/>
        <v>96</v>
      </c>
      <c r="O6" s="22">
        <f t="shared" si="14"/>
        <v>197</v>
      </c>
      <c r="P6" s="22">
        <f t="shared" si="15"/>
        <v>154</v>
      </c>
      <c r="Q6" s="22">
        <f t="shared" si="16"/>
        <v>125</v>
      </c>
      <c r="S6" s="20">
        <v>4</v>
      </c>
      <c r="T6" s="28">
        <f>ROUNDUP(0.299 * 242 + 0.587 * 95 + 0.114 * 90, 0)</f>
        <v>139</v>
      </c>
      <c r="U6" s="29">
        <f>ROUNDUP(0.299 * 255 + 0.587 * 146 + 0.114 * 91, 0)</f>
        <v>173</v>
      </c>
      <c r="V6" s="29">
        <f>ROUNDUP(0.299 * 255 + 0.587 * 192 + 0.114 * 101, 0)</f>
        <v>201</v>
      </c>
      <c r="W6" s="29">
        <f>ROUNDUP(0.299 * 255 + 0.587 * 255 + 0.114 * 123, 0)</f>
        <v>240</v>
      </c>
      <c r="X6" s="29">
        <f>ROUNDUP(0.299 * 128 + 0.587 * 93 + 0.114 * 8, 0)</f>
        <v>94</v>
      </c>
      <c r="Y6" s="29">
        <f>ROUNDUP(0.299 * 54 + 0.587 * 70 + 0.114 * 108, 0)</f>
        <v>70</v>
      </c>
      <c r="Z6" s="29">
        <f>ROUNDUP(0.299 * 255 + 0.587 * 255 + 0.114 * 255, 0)</f>
        <v>255</v>
      </c>
      <c r="AA6" s="30">
        <f>ROUNDUP(0.299 * 70 + 0.587 * 71 + 0.114 * 72, 0)</f>
        <v>71</v>
      </c>
      <c r="AB6" s="31">
        <f>ROUNDUP(0.299 * 70 + 0.587 * 87 + 0.114 * 94, 0)</f>
        <v>83</v>
      </c>
      <c r="AC6" s="32">
        <f>ROUNDUP(0.299 * 137 + 0.587 * 147 + 0.114 * 148, 0)</f>
        <v>145</v>
      </c>
      <c r="AD6" s="32">
        <f>ROUNDUP(0.299 * 161 + 0.587 * 161 + 0.114 * 163, 0)</f>
        <v>162</v>
      </c>
      <c r="AE6" s="32">
        <f>ROUNDUP(0.299 * 54 + 0.587 * 29 + 0.114 * 30, 0)</f>
        <v>37</v>
      </c>
      <c r="AF6" s="32">
        <f>ROUNDUP(0.299 * 29 + 0.587 * 98 + 0.114 * 106, 0)</f>
        <v>79</v>
      </c>
      <c r="AG6" s="32">
        <f>ROUNDUP(0.299 * 105 + 0.587 * 245 + 0.114 * 255, 0)</f>
        <v>205</v>
      </c>
      <c r="AH6" s="32">
        <f>ROUNDUP(0.299 * 94 + 0.587 * 161 + 0.114 * 255, 0)</f>
        <v>152</v>
      </c>
      <c r="AI6" s="33">
        <f>ROUNDUP(0.299 * 91 + 0.587 * 105 + 0.114 * 242, 0)</f>
        <v>117</v>
      </c>
    </row>
    <row r="7" spans="1:35" ht="40.049999999999997" customHeight="1" thickBot="1" x14ac:dyDescent="0.35">
      <c r="A7" s="20">
        <v>5</v>
      </c>
      <c r="B7" s="22">
        <f t="shared" si="1"/>
        <v>119</v>
      </c>
      <c r="C7" s="22">
        <f t="shared" si="2"/>
        <v>179</v>
      </c>
      <c r="D7" s="22">
        <f t="shared" si="3"/>
        <v>185</v>
      </c>
      <c r="E7" s="22">
        <f t="shared" si="4"/>
        <v>96</v>
      </c>
      <c r="F7" s="22">
        <f t="shared" si="5"/>
        <v>26</v>
      </c>
      <c r="G7" s="22">
        <f t="shared" si="6"/>
        <v>133</v>
      </c>
      <c r="H7" s="22">
        <f t="shared" si="7"/>
        <v>225</v>
      </c>
      <c r="I7" s="22">
        <f t="shared" si="8"/>
        <v>3</v>
      </c>
      <c r="J7" s="22">
        <f t="shared" si="9"/>
        <v>195</v>
      </c>
      <c r="K7" s="22">
        <f t="shared" si="10"/>
        <v>239</v>
      </c>
      <c r="L7" s="22">
        <f t="shared" si="11"/>
        <v>255</v>
      </c>
      <c r="M7" s="22">
        <f t="shared" si="12"/>
        <v>232</v>
      </c>
      <c r="N7" s="22">
        <f t="shared" si="13"/>
        <v>54</v>
      </c>
      <c r="O7" s="22">
        <f t="shared" si="14"/>
        <v>198</v>
      </c>
      <c r="P7" s="22">
        <f t="shared" si="15"/>
        <v>165</v>
      </c>
      <c r="Q7" s="22">
        <f t="shared" si="16"/>
        <v>114</v>
      </c>
      <c r="S7" s="20">
        <v>5</v>
      </c>
      <c r="T7" s="28">
        <f>ROUNDUP(0.299 * 142 + 0.587 * 95 + 0.114 * 90, 0)</f>
        <v>109</v>
      </c>
      <c r="U7" s="29">
        <f>ROUNDUP(0.299 * 255 + 0.587 * 161 + 0.114 * 98, 0)</f>
        <v>182</v>
      </c>
      <c r="V7" s="29">
        <f>ROUNDUP(0.299 * 241 + 0.587 * 177 + 0.114 * 91, 0)</f>
        <v>187</v>
      </c>
      <c r="W7" s="29">
        <f>ROUNDUP(0.299 * 115 + 0.587 * 92 + 0.114 * 37, 0)</f>
        <v>93</v>
      </c>
      <c r="X7" s="29">
        <f>ROUNDUP(0.299 * 17 + 0.587 * 11 + 0.114 * 0, 0)</f>
        <v>12</v>
      </c>
      <c r="Y7" s="29">
        <f>ROUNDUP(0.299 * 139 + 0.587 * 152 + 0.114 * 182, 0)</f>
        <v>152</v>
      </c>
      <c r="Z7" s="29">
        <f>ROUNDUP(0.299 * 207 + 0.587 * 210 + 0.114 * 222, 0)</f>
        <v>211</v>
      </c>
      <c r="AA7" s="30">
        <f>ROUNDUP(0.299 * 0 + 0.587 * 4 + 0.114 * 6, 0)</f>
        <v>4</v>
      </c>
      <c r="AB7" s="31">
        <f>ROUNDUP(0.299 * 175 + 0.587 * 214 + 0.114 * 233, 0)</f>
        <v>205</v>
      </c>
      <c r="AC7" s="32">
        <f>ROUNDUP(0.299 * 248 + 0.587 * 255 + 0.114 * 255, 0)</f>
        <v>253</v>
      </c>
      <c r="AD7" s="32">
        <f>ROUNDUP(0.299 * 255 + 0.587 * 255 + 0.114 * 255, 0)</f>
        <v>255</v>
      </c>
      <c r="AE7" s="32">
        <f>ROUNDUP(0.299 * 255 + 0.587 * 255 + 0.114 * 255, 0)</f>
        <v>255</v>
      </c>
      <c r="AF7" s="32">
        <f>ROUNDUP(0.299 * 48 + 0.587 * 43 + 0.114 * 41, 0)</f>
        <v>45</v>
      </c>
      <c r="AG7" s="32">
        <f>ROUNDUP(0.299 * 104 + 0.587 * 244 + 0.114 * 254, 0)</f>
        <v>204</v>
      </c>
      <c r="AH7" s="32">
        <f>ROUNDUP(0.299 * 105 + 0.587 * 190 + 0.114 * 255, 0)</f>
        <v>172</v>
      </c>
      <c r="AI7" s="33">
        <f>ROUNDUP(0.299 * 91 + 0.587 * 105 + 0.114 * 242, 0)</f>
        <v>117</v>
      </c>
    </row>
    <row r="8" spans="1:35" ht="40.049999999999997" customHeight="1" thickBot="1" x14ac:dyDescent="0.35">
      <c r="A8" s="20">
        <v>6</v>
      </c>
      <c r="B8" s="22">
        <f t="shared" si="1"/>
        <v>126</v>
      </c>
      <c r="C8" s="22">
        <f t="shared" si="2"/>
        <v>197</v>
      </c>
      <c r="D8" s="22">
        <f t="shared" si="3"/>
        <v>79</v>
      </c>
      <c r="E8" s="22">
        <f t="shared" si="4"/>
        <v>70</v>
      </c>
      <c r="F8" s="22">
        <f t="shared" si="5"/>
        <v>98</v>
      </c>
      <c r="G8" s="22">
        <f t="shared" si="6"/>
        <v>141</v>
      </c>
      <c r="H8" s="22">
        <f t="shared" si="7"/>
        <v>243</v>
      </c>
      <c r="I8" s="22">
        <f t="shared" si="8"/>
        <v>21</v>
      </c>
      <c r="J8" s="22">
        <f t="shared" si="9"/>
        <v>76</v>
      </c>
      <c r="K8" s="22">
        <f t="shared" si="10"/>
        <v>145</v>
      </c>
      <c r="L8" s="22">
        <f t="shared" si="11"/>
        <v>129</v>
      </c>
      <c r="M8" s="22">
        <f t="shared" si="12"/>
        <v>98</v>
      </c>
      <c r="N8" s="22">
        <f t="shared" si="13"/>
        <v>43</v>
      </c>
      <c r="O8" s="22">
        <f t="shared" si="14"/>
        <v>193</v>
      </c>
      <c r="P8" s="22">
        <f t="shared" si="15"/>
        <v>179</v>
      </c>
      <c r="Q8" s="22">
        <f t="shared" si="16"/>
        <v>117</v>
      </c>
      <c r="S8" s="20">
        <v>6</v>
      </c>
      <c r="T8" s="28">
        <f>ROUNDUP(0.299 * 242 + 0.587 * 96 + 0.114 * 90, 0)</f>
        <v>139</v>
      </c>
      <c r="U8" s="29">
        <f>ROUNDUP(0.299 * 255 + 0.587 * 186 + 0.114 * 110, 0)</f>
        <v>198</v>
      </c>
      <c r="V8" s="29">
        <f>ROUNDUP(0.299 * 93 + 0.587 * 60 + 0.114 * 14, 0)</f>
        <v>65</v>
      </c>
      <c r="W8" s="29">
        <f>ROUNDUP(0.299 * 51 + 0.587 * 74 + 0.114 * 109, 0)</f>
        <v>72</v>
      </c>
      <c r="X8" s="29">
        <f>ROUNDUP(0.299 * 90 + 0.587 * 96 + 0.114 * 113, 0)</f>
        <v>97</v>
      </c>
      <c r="Y8" s="34">
        <f>ROUNDUP(0.299 * 127 + 0.587 * 134  + 0.114 * 156, 0)</f>
        <v>135</v>
      </c>
      <c r="Z8" s="29">
        <f>ROUNDUP(0.299 * 234 + 0.587 * 236 + 0.114 * 241, 0)</f>
        <v>236</v>
      </c>
      <c r="AA8" s="30">
        <f>ROUNDUP(0.299 * 14 + 0.587 * 18  + 0.114 * 18, 0)</f>
        <v>17</v>
      </c>
      <c r="AB8" s="31">
        <f>ROUNDUP(0.299 * 57 + 0.587 * 74  + 0.114 * 82, 0)</f>
        <v>70</v>
      </c>
      <c r="AC8" s="32">
        <f>ROUNDUP(0.299 * 116 + 0.587 * 145  + 0.114 * 160, 0)</f>
        <v>139</v>
      </c>
      <c r="AD8" s="32">
        <f>ROUNDUP(0.299 * 93 + 0.587 * 122  + 0.114 * 139, 0)</f>
        <v>116</v>
      </c>
      <c r="AE8" s="32">
        <f>ROUNDUP(0.299 * 81 + 0.587 * 105  + 0.114 * 115, 0)</f>
        <v>99</v>
      </c>
      <c r="AF8" s="32">
        <f>ROUNDUP(0.299 * 32 + 0.587 * 33  + 0.114 * 30, 0)</f>
        <v>33</v>
      </c>
      <c r="AG8" s="32">
        <f>ROUNDUP(0.299 * 104 + 0.587 * 242  + 0.114 * 253, 0)</f>
        <v>202</v>
      </c>
      <c r="AH8" s="32">
        <f>ROUNDUP(0.299 * 105 + 0.587 * 201  + 0.114 * 255, 0)</f>
        <v>179</v>
      </c>
      <c r="AI8" s="33">
        <f t="shared" ref="AI8:AI15" si="17">ROUNDUP(0.299 * 91 + 0.587 * 105  + 0.114 * 242, 0)</f>
        <v>117</v>
      </c>
    </row>
    <row r="9" spans="1:35" ht="40.049999999999997" customHeight="1" thickBot="1" x14ac:dyDescent="0.35">
      <c r="A9" s="20">
        <v>7</v>
      </c>
      <c r="B9" s="22">
        <f t="shared" si="1"/>
        <v>148</v>
      </c>
      <c r="C9" s="22">
        <f t="shared" si="2"/>
        <v>179</v>
      </c>
      <c r="D9" s="22">
        <f t="shared" si="3"/>
        <v>48</v>
      </c>
      <c r="E9" s="22">
        <f t="shared" si="4"/>
        <v>137</v>
      </c>
      <c r="F9" s="22">
        <f t="shared" si="5"/>
        <v>110</v>
      </c>
      <c r="G9" s="22">
        <f t="shared" si="6"/>
        <v>106</v>
      </c>
      <c r="H9" s="22">
        <f t="shared" si="7"/>
        <v>240</v>
      </c>
      <c r="I9" s="22">
        <f t="shared" si="8"/>
        <v>154</v>
      </c>
      <c r="J9" s="22">
        <f t="shared" si="9"/>
        <v>29</v>
      </c>
      <c r="K9" s="22">
        <f t="shared" si="10"/>
        <v>57</v>
      </c>
      <c r="L9" s="22">
        <f t="shared" si="11"/>
        <v>51</v>
      </c>
      <c r="M9" s="22">
        <f t="shared" si="12"/>
        <v>36</v>
      </c>
      <c r="N9" s="22">
        <f t="shared" si="13"/>
        <v>63</v>
      </c>
      <c r="O9" s="22">
        <f t="shared" si="14"/>
        <v>192</v>
      </c>
      <c r="P9" s="22">
        <f t="shared" si="15"/>
        <v>161</v>
      </c>
      <c r="Q9" s="22">
        <f t="shared" si="16"/>
        <v>115</v>
      </c>
      <c r="S9" s="20">
        <v>7</v>
      </c>
      <c r="T9" s="35">
        <f>ROUNDUP(0.299 * 242 + 0.587 * 96  + 0.114 * 91, 0)</f>
        <v>140</v>
      </c>
      <c r="U9" s="36">
        <f>ROUNDUP(0.299 * 255 + 0.587 * 178  + 0.114 * 105, 0)</f>
        <v>193</v>
      </c>
      <c r="V9" s="36">
        <f>ROUNDUP(0.299 * 79 + 0.587 * 51  + 0.114 * 11, 0)</f>
        <v>55</v>
      </c>
      <c r="W9" s="36">
        <f>ROUNDUP(0.299 * 117 + 0.587 * 144  + 0.114 * 191, 0)</f>
        <v>142</v>
      </c>
      <c r="X9" s="36">
        <f>ROUNDUP(0.299 * 95 + 0.587 * 102  + 0.114 * 125, 0)</f>
        <v>103</v>
      </c>
      <c r="Y9" s="36">
        <f>ROUNDUP(0.299 * 98 + 0.587 * 104  + 0.114 * 126, 0)</f>
        <v>105</v>
      </c>
      <c r="Z9" s="36">
        <f>ROUNDUP(0.299 * 255 + 0.587 * 255  + 0.114 * 255, 0)</f>
        <v>255</v>
      </c>
      <c r="AA9" s="37">
        <f>ROUNDUP(0.299 * 156 + 0.587 * 156  + 0.114 * 159, 0)</f>
        <v>157</v>
      </c>
      <c r="AB9" s="38">
        <f>ROUNDUP(0.299 * 29 + 0.587 * 29  + 0.114 * 28, 0)</f>
        <v>29</v>
      </c>
      <c r="AC9" s="39">
        <f>ROUNDUP(0.299 * 39 + 0.587 * 45  + 0.114 * 48, 0)</f>
        <v>44</v>
      </c>
      <c r="AD9" s="39">
        <f>ROUNDUP(0.299 * 63 + 0.587 * 67  + 0.114 * 71, 0)</f>
        <v>67</v>
      </c>
      <c r="AE9" s="39">
        <f>ROUNDUP(0.299 * 53 + 0.587 * 39  + 0.114 * 36, 0)</f>
        <v>43</v>
      </c>
      <c r="AF9" s="39">
        <f>ROUNDUP(0.299 * 20 + 0.587 * 64  + 0.114 * 67, 0)</f>
        <v>52</v>
      </c>
      <c r="AG9" s="39">
        <f>ROUNDUP(0.299 * 105 + 0.587 * 244  + 0.114 * 255, 0)</f>
        <v>204</v>
      </c>
      <c r="AH9" s="39">
        <f>ROUNDUP(0.299 * 94 + 0.587 * 163  + 0.114 * 255, 0)</f>
        <v>153</v>
      </c>
      <c r="AI9" s="40">
        <f t="shared" si="17"/>
        <v>117</v>
      </c>
    </row>
    <row r="10" spans="1:35" ht="40.049999999999997" customHeight="1" thickBot="1" x14ac:dyDescent="0.35">
      <c r="A10" s="20">
        <v>8</v>
      </c>
      <c r="B10" s="22">
        <f t="shared" si="1"/>
        <v>138</v>
      </c>
      <c r="C10" s="22">
        <f t="shared" si="2"/>
        <v>185</v>
      </c>
      <c r="D10" s="22">
        <f t="shared" si="3"/>
        <v>71</v>
      </c>
      <c r="E10" s="22">
        <f t="shared" si="4"/>
        <v>130</v>
      </c>
      <c r="F10" s="22">
        <f t="shared" si="5"/>
        <v>75</v>
      </c>
      <c r="G10" s="22">
        <f t="shared" si="6"/>
        <v>102</v>
      </c>
      <c r="H10" s="22">
        <f t="shared" si="7"/>
        <v>247</v>
      </c>
      <c r="I10" s="22">
        <f t="shared" si="8"/>
        <v>254</v>
      </c>
      <c r="J10" s="22">
        <f t="shared" si="9"/>
        <v>228</v>
      </c>
      <c r="K10" s="22">
        <f t="shared" si="10"/>
        <v>196</v>
      </c>
      <c r="L10" s="22">
        <f t="shared" si="11"/>
        <v>241</v>
      </c>
      <c r="M10" s="22">
        <f t="shared" si="12"/>
        <v>187</v>
      </c>
      <c r="N10" s="22">
        <f t="shared" si="13"/>
        <v>59</v>
      </c>
      <c r="O10" s="22">
        <f t="shared" si="14"/>
        <v>189</v>
      </c>
      <c r="P10" s="22">
        <f t="shared" si="15"/>
        <v>148</v>
      </c>
      <c r="Q10" s="22">
        <f t="shared" si="16"/>
        <v>115</v>
      </c>
      <c r="S10" s="20">
        <v>8</v>
      </c>
      <c r="T10" s="25">
        <f>ROUNDUP(0.299 * 242 + 0.587 * 97  + 0.114 * 91, 0)</f>
        <v>140</v>
      </c>
      <c r="U10" s="26">
        <f>ROUNDUP(0.299 * 255 + 0.587 * 172  + 0.114 * 99, 0)</f>
        <v>189</v>
      </c>
      <c r="V10" s="26">
        <f>ROUNDUP(0.299 * 90 + 0.587 * 64  + 0.114 * 27, 0)</f>
        <v>68</v>
      </c>
      <c r="W10" s="26">
        <f>ROUNDUP(0.299 * 99 + 0.587 * 126  + 0.114 * 178, 0)</f>
        <v>124</v>
      </c>
      <c r="X10" s="26">
        <f>ROUNDUP(0.299 * 71 + 0.587 * 78  + 0.114 * 100, 0)</f>
        <v>79</v>
      </c>
      <c r="Y10" s="26">
        <f>ROUNDUP(0.299 * 94 + 0.587 * 102  + 0.114 * 127, 0)</f>
        <v>103</v>
      </c>
      <c r="Z10" s="26">
        <f>ROUNDUP(0.299 * 237 + 0.587 * 247  + 0.114 * 255, 0)</f>
        <v>245</v>
      </c>
      <c r="AA10" s="27">
        <f>ROUNDUP(0.299 * 255 + 0.587 * 255  + 0.114 * 255, 0)</f>
        <v>255</v>
      </c>
      <c r="AB10" s="22">
        <f>ROUNDUP(0.299 * 227 + 0.587 * 232  + 0.114 * 242, 0)</f>
        <v>232</v>
      </c>
      <c r="AC10" s="23">
        <f>ROUNDUP(0.299 * 193 + 0.587 * 196  + 0.114 * 206, 0)</f>
        <v>197</v>
      </c>
      <c r="AD10" s="23">
        <f>ROUNDUP(0.299 * 243 + 0.587 * 243  + 0.114 * 242, 0)</f>
        <v>243</v>
      </c>
      <c r="AE10" s="23">
        <f>ROUNDUP(0.299 * 203 + 0.587 * 186  + 0.114 * 193, 0)</f>
        <v>192</v>
      </c>
      <c r="AF10" s="23">
        <f>ROUNDUP(0.299 * 19 + 0.587 * 63  + 0.114 * 68, 0)</f>
        <v>51</v>
      </c>
      <c r="AG10" s="23">
        <f>ROUNDUP(0.299 * 92 + 0.587 * 228  + 0.114 * 255, 0)</f>
        <v>191</v>
      </c>
      <c r="AH10" s="23">
        <f>ROUNDUP(0.299 * 95 + 0.587 * 164  + 0.114 * 255, 0)</f>
        <v>154</v>
      </c>
      <c r="AI10" s="24">
        <f t="shared" si="17"/>
        <v>117</v>
      </c>
    </row>
    <row r="11" spans="1:35" ht="40.049999999999997" customHeight="1" thickBot="1" x14ac:dyDescent="0.35">
      <c r="A11" s="20">
        <v>9</v>
      </c>
      <c r="B11" s="22">
        <f t="shared" si="1"/>
        <v>154</v>
      </c>
      <c r="C11" s="22">
        <f t="shared" si="2"/>
        <v>174</v>
      </c>
      <c r="D11" s="22">
        <f t="shared" si="3"/>
        <v>67</v>
      </c>
      <c r="E11" s="22">
        <f t="shared" si="4"/>
        <v>130</v>
      </c>
      <c r="F11" s="22">
        <f t="shared" si="5"/>
        <v>95</v>
      </c>
      <c r="G11" s="22">
        <f t="shared" si="6"/>
        <v>87</v>
      </c>
      <c r="H11" s="22">
        <f t="shared" si="7"/>
        <v>208</v>
      </c>
      <c r="I11" s="22">
        <f t="shared" si="8"/>
        <v>251</v>
      </c>
      <c r="J11" s="22">
        <f t="shared" si="9"/>
        <v>248</v>
      </c>
      <c r="K11" s="22">
        <f t="shared" si="10"/>
        <v>255</v>
      </c>
      <c r="L11" s="22">
        <f t="shared" si="11"/>
        <v>248</v>
      </c>
      <c r="M11" s="22">
        <f t="shared" si="12"/>
        <v>153</v>
      </c>
      <c r="N11" s="22">
        <f t="shared" si="13"/>
        <v>45</v>
      </c>
      <c r="O11" s="22">
        <f t="shared" si="14"/>
        <v>179</v>
      </c>
      <c r="P11" s="22">
        <f t="shared" si="15"/>
        <v>155</v>
      </c>
      <c r="Q11" s="22">
        <f t="shared" si="16"/>
        <v>118</v>
      </c>
      <c r="S11" s="20">
        <v>9</v>
      </c>
      <c r="T11" s="31">
        <f>ROUNDUP(0.299 * 242 + 0.587 * 97  + 0.114 * 91, 0)</f>
        <v>140</v>
      </c>
      <c r="U11" s="32">
        <f>ROUNDUP(0.299 * 255 + 0.587 * 168  + 0.114 * 96, 0)</f>
        <v>186</v>
      </c>
      <c r="V11" s="32">
        <f>ROUNDUP(0.299 * 84 + 0.587 * 62  + 0.114 * 29, 0)</f>
        <v>65</v>
      </c>
      <c r="W11" s="32">
        <f>ROUNDUP(0.299 * 113 + 0.587 * 140  + 0.114 * 190, 0)</f>
        <v>138</v>
      </c>
      <c r="X11" s="32">
        <f>ROUNDUP(0.299 * 78 + 0.587 * 83  + 0.114 * 103, 0)</f>
        <v>84</v>
      </c>
      <c r="Y11" s="32">
        <f>ROUNDUP(0.299 * 78 + 0.587 * 83  + 0.114 * 103, 0)</f>
        <v>84</v>
      </c>
      <c r="Z11" s="32">
        <f>ROUNDUP(0.299 * 207 + 0.587 * 218  + 0.114 * 249, 0)</f>
        <v>219</v>
      </c>
      <c r="AA11" s="33">
        <f>ROUNDUP(0.299 * 246 + 0.587 * 252  + 0.114 * 255, 0)</f>
        <v>251</v>
      </c>
      <c r="AB11" s="28">
        <f>ROUNDUP(0.299 * 246 + 0.587 * 253  + 0.114 * 255, 0)</f>
        <v>252</v>
      </c>
      <c r="AC11" s="29">
        <f>ROUNDUP(0.299 * 254 + 0.587 * 255  + 0.114 * 255, 0)</f>
        <v>255</v>
      </c>
      <c r="AD11" s="29">
        <f>ROUNDUP(0.299 * 255 + 0.587 * 255  + 0.114 * 255, 0)</f>
        <v>255</v>
      </c>
      <c r="AE11" s="29">
        <f>ROUNDUP(0.299 * 165 + 0.587 * 158  + 0.114 * 181, 0)</f>
        <v>163</v>
      </c>
      <c r="AF11" s="29">
        <f>ROUNDUP(0.299 * 6 + 0.587 * 35  + 0.114 * 42, 0)</f>
        <v>28</v>
      </c>
      <c r="AG11" s="29">
        <f>ROUNDUP(0.299 * 88 + 0.587 * 216  + 0.114 * 255, 0)</f>
        <v>183</v>
      </c>
      <c r="AH11" s="29">
        <f>ROUNDUP(0.299 * 96 + 0.587 * 168  + 0.114 * 255, 0)</f>
        <v>157</v>
      </c>
      <c r="AI11" s="30">
        <f t="shared" si="17"/>
        <v>117</v>
      </c>
    </row>
    <row r="12" spans="1:35" ht="40.049999999999997" customHeight="1" thickBot="1" x14ac:dyDescent="0.35">
      <c r="A12" s="20">
        <v>10</v>
      </c>
      <c r="B12" s="22">
        <f t="shared" si="1"/>
        <v>134</v>
      </c>
      <c r="C12" s="22">
        <f t="shared" si="2"/>
        <v>195</v>
      </c>
      <c r="D12" s="22">
        <f t="shared" si="3"/>
        <v>64</v>
      </c>
      <c r="E12" s="22">
        <f t="shared" si="4"/>
        <v>102</v>
      </c>
      <c r="F12" s="22">
        <f t="shared" si="5"/>
        <v>109</v>
      </c>
      <c r="G12" s="22">
        <f t="shared" si="6"/>
        <v>86</v>
      </c>
      <c r="H12" s="22">
        <f t="shared" si="7"/>
        <v>193</v>
      </c>
      <c r="I12" s="22">
        <f t="shared" si="8"/>
        <v>199</v>
      </c>
      <c r="J12" s="22">
        <f t="shared" si="9"/>
        <v>223</v>
      </c>
      <c r="K12" s="22">
        <f t="shared" si="10"/>
        <v>234</v>
      </c>
      <c r="L12" s="22">
        <f t="shared" si="11"/>
        <v>217</v>
      </c>
      <c r="M12" s="22">
        <f t="shared" si="12"/>
        <v>109</v>
      </c>
      <c r="N12" s="22">
        <f t="shared" si="13"/>
        <v>59</v>
      </c>
      <c r="O12" s="22">
        <f t="shared" si="14"/>
        <v>194</v>
      </c>
      <c r="P12" s="22">
        <f t="shared" si="15"/>
        <v>162</v>
      </c>
      <c r="Q12" s="22">
        <f t="shared" si="16"/>
        <v>120</v>
      </c>
      <c r="S12" s="20">
        <v>10</v>
      </c>
      <c r="T12" s="31">
        <f>ROUNDUP(0.299 * 242 + 0.587 * 97  + 0.114 * 91, 0)</f>
        <v>140</v>
      </c>
      <c r="U12" s="32">
        <f>ROUNDUP(0.299 * 255 + 0.587 * 179  + 0.114 * 104, 0)</f>
        <v>194</v>
      </c>
      <c r="V12" s="32">
        <f>ROUNDUP(0.299 * 67 + 0.587 * 42  + 0.114 * 7, 0)</f>
        <v>46</v>
      </c>
      <c r="W12" s="32">
        <f>ROUNDUP(0.299 * 99 + 0.587 * 132  + 0.114 * 192, 0)</f>
        <v>129</v>
      </c>
      <c r="X12" s="32">
        <f>ROUNDUP(0.299 * 103 + 0.587 * 111  + 0.114 * 139, 0)</f>
        <v>112</v>
      </c>
      <c r="Y12" s="32">
        <f>ROUNDUP(0.299 * 85 + 0.587 * 92  + 0.114 * 115, 0)</f>
        <v>93</v>
      </c>
      <c r="Z12" s="32">
        <f>ROUNDUP(0.299 * 164 + 0.587 * 177  + 0.114 * 223, 0)</f>
        <v>179</v>
      </c>
      <c r="AA12" s="33">
        <f>ROUNDUP(0.299 * 189 + 0.587 * 200  + 0.114 * 230, 0)</f>
        <v>201</v>
      </c>
      <c r="AB12" s="28">
        <f>ROUNDUP(0.299 * 224 + 0.587 * 235  + 0.114 * 255, 0)</f>
        <v>234</v>
      </c>
      <c r="AC12" s="29">
        <f>ROUNDUP(0.299 * 227 + 0.587 * 238  + 0.114 * 255, 0)</f>
        <v>237</v>
      </c>
      <c r="AD12" s="29">
        <f>ROUNDUP(0.299 * 212 + 0.587 * 225  + 0.114 * 254, 0)</f>
        <v>225</v>
      </c>
      <c r="AE12" s="29">
        <f>ROUNDUP(0.299 * 110 + 0.587 * 98  + 0.114 * 126, 0)</f>
        <v>105</v>
      </c>
      <c r="AF12" s="29">
        <f>ROUNDUP(0.299 * 21 + 0.587 * 68  + 0.114 * 71, 0)</f>
        <v>55</v>
      </c>
      <c r="AG12" s="29">
        <f>ROUNDUP(0.299 * 100 + 0.587 * 240  + 0.114 * 255, 0)</f>
        <v>200</v>
      </c>
      <c r="AH12" s="29">
        <f>ROUNDUP(0.299 * 94 + 0.587 * 162  + 0.114 * 255, 0)</f>
        <v>153</v>
      </c>
      <c r="AI12" s="30">
        <f t="shared" si="17"/>
        <v>117</v>
      </c>
    </row>
    <row r="13" spans="1:35" ht="40.049999999999997" customHeight="1" thickBot="1" x14ac:dyDescent="0.35">
      <c r="A13" s="20">
        <v>11</v>
      </c>
      <c r="B13" s="22">
        <f t="shared" si="1"/>
        <v>132</v>
      </c>
      <c r="C13" s="22">
        <f t="shared" si="2"/>
        <v>192</v>
      </c>
      <c r="D13" s="22">
        <f t="shared" si="3"/>
        <v>113</v>
      </c>
      <c r="E13" s="22">
        <f t="shared" si="4"/>
        <v>58</v>
      </c>
      <c r="F13" s="22">
        <f t="shared" si="5"/>
        <v>49</v>
      </c>
      <c r="G13" s="22">
        <f t="shared" si="6"/>
        <v>106</v>
      </c>
      <c r="H13" s="22">
        <f t="shared" si="7"/>
        <v>198</v>
      </c>
      <c r="I13" s="22">
        <f t="shared" si="8"/>
        <v>132</v>
      </c>
      <c r="J13" s="22">
        <f t="shared" si="9"/>
        <v>77</v>
      </c>
      <c r="K13" s="22">
        <f t="shared" si="10"/>
        <v>100</v>
      </c>
      <c r="L13" s="22">
        <f t="shared" si="11"/>
        <v>173</v>
      </c>
      <c r="M13" s="22">
        <f t="shared" si="12"/>
        <v>69</v>
      </c>
      <c r="N13" s="22">
        <f t="shared" si="13"/>
        <v>75</v>
      </c>
      <c r="O13" s="22">
        <f t="shared" si="14"/>
        <v>206</v>
      </c>
      <c r="P13" s="22">
        <f t="shared" si="15"/>
        <v>156</v>
      </c>
      <c r="Q13" s="22">
        <f t="shared" si="16"/>
        <v>114</v>
      </c>
      <c r="S13" s="20">
        <v>11</v>
      </c>
      <c r="T13" s="31">
        <f>ROUNDUP(0.299 * 242 + 0.587 * 95  + 0.114 * 90, 0)</f>
        <v>139</v>
      </c>
      <c r="U13" s="32">
        <f>ROUNDUP(0.299 * 255 + 0.587 * 179  + 0.114 * 107, 0)</f>
        <v>194</v>
      </c>
      <c r="V13" s="32">
        <f>ROUNDUP(0.299 * 162 + 0.587 * 117  + 0.114 * 49, 0)</f>
        <v>123</v>
      </c>
      <c r="W13" s="32">
        <f>ROUNDUP(0.299 * 17 + 0.587 * 26  + 0.114 * 53, 0)</f>
        <v>27</v>
      </c>
      <c r="X13" s="32">
        <f>ROUNDUP(0.299 * 32 + 0.587 * 39  + 0.114 * 60, 0)</f>
        <v>40</v>
      </c>
      <c r="Y13" s="32">
        <f>ROUNDUP(0.299 * 107 + 0.587 * 114  + 0.114 * 137, 0)</f>
        <v>115</v>
      </c>
      <c r="Z13" s="32">
        <f>ROUNDUP(0.299 * 184 + 0.587 * 200  + 0.114 * 241, 0)</f>
        <v>200</v>
      </c>
      <c r="AA13" s="33">
        <f>ROUNDUP(0.299 * 119 + 0.587 * 131  + 0.114 * 168, 0)</f>
        <v>132</v>
      </c>
      <c r="AB13" s="28">
        <f>ROUNDUP(0.299 * 81 + 0.587 * 82  + 0.114 * 118, 0)</f>
        <v>86</v>
      </c>
      <c r="AC13" s="29">
        <f>ROUNDUP(0.299 * 84 + 0.587 * 91  + 0.114 * 124, 0)</f>
        <v>93</v>
      </c>
      <c r="AD13" s="29">
        <f>ROUNDUP(0.299 * 139 + 0.587 * 154  + 0.114 * 198, 0)</f>
        <v>155</v>
      </c>
      <c r="AE13" s="29">
        <f>ROUNDUP(0.299 * 87 + 0.587 * 70  + 0.114 * 93, 0)</f>
        <v>78</v>
      </c>
      <c r="AF13" s="29">
        <f>ROUNDUP(0.299 * 23 + 0.587 * 95  + 0.114 * 95, 0)</f>
        <v>74</v>
      </c>
      <c r="AG13" s="29">
        <f>ROUNDUP(0.299 * 111 + 0.587 * 255  + 0.114 * 255, 0)</f>
        <v>212</v>
      </c>
      <c r="AH13" s="29">
        <f>ROUNDUP(0.299 * 93 + 0.587 * 159  + 0.114 * 255, 0)</f>
        <v>151</v>
      </c>
      <c r="AI13" s="30">
        <f t="shared" si="17"/>
        <v>117</v>
      </c>
    </row>
    <row r="14" spans="1:35" ht="40.049999999999997" customHeight="1" thickBot="1" x14ac:dyDescent="0.35">
      <c r="A14" s="20">
        <v>12</v>
      </c>
      <c r="B14" s="22">
        <f t="shared" si="1"/>
        <v>137</v>
      </c>
      <c r="C14" s="22">
        <f t="shared" si="2"/>
        <v>180</v>
      </c>
      <c r="D14" s="22">
        <f t="shared" si="3"/>
        <v>192</v>
      </c>
      <c r="E14" s="22">
        <f t="shared" si="4"/>
        <v>151</v>
      </c>
      <c r="F14" s="22">
        <f t="shared" si="5"/>
        <v>59</v>
      </c>
      <c r="G14" s="22">
        <f t="shared" si="6"/>
        <v>112</v>
      </c>
      <c r="H14" s="22">
        <f t="shared" si="7"/>
        <v>235</v>
      </c>
      <c r="I14" s="22">
        <f t="shared" si="8"/>
        <v>92</v>
      </c>
      <c r="J14" s="22">
        <f t="shared" si="9"/>
        <v>11</v>
      </c>
      <c r="K14" s="22">
        <f t="shared" si="10"/>
        <v>63</v>
      </c>
      <c r="L14" s="22">
        <f t="shared" si="11"/>
        <v>185</v>
      </c>
      <c r="M14" s="22">
        <f t="shared" si="12"/>
        <v>68</v>
      </c>
      <c r="N14" s="22">
        <f t="shared" si="13"/>
        <v>104</v>
      </c>
      <c r="O14" s="22">
        <f t="shared" si="14"/>
        <v>205</v>
      </c>
      <c r="P14" s="22">
        <f t="shared" si="15"/>
        <v>153</v>
      </c>
      <c r="Q14" s="22">
        <f t="shared" si="16"/>
        <v>110</v>
      </c>
      <c r="S14" s="20">
        <v>12</v>
      </c>
      <c r="T14" s="31">
        <f>ROUNDUP(0.299 * 242 + 0.587 * 95  + 0.114 * 90, 0)</f>
        <v>139</v>
      </c>
      <c r="U14" s="32">
        <f>ROUNDUP(0.299 * 255 + 0.587 * 151  + 0.114 * 93, 0)</f>
        <v>176</v>
      </c>
      <c r="V14" s="32">
        <f>ROUNDUP(0.299 * 255 + 0.587 * 200  + 0.114 * 108, 0)</f>
        <v>206</v>
      </c>
      <c r="W14" s="32">
        <f>ROUNDUP(0.299 * 199 + 0.587 * 165  + 0.114 * 60, 0)</f>
        <v>164</v>
      </c>
      <c r="X14" s="32">
        <f>ROUNDUP(0.299 * 68 + 0.587 * 46  + 0.114 * 0, 0)</f>
        <v>48</v>
      </c>
      <c r="Y14" s="32">
        <f>ROUNDUP(0.299 * 81 + 0.587 * 99  + 0.114 * 143, 0)</f>
        <v>99</v>
      </c>
      <c r="Z14" s="32">
        <f>ROUNDUP(0.299 * 227 + 0.587 * 245  + 0.114 * 255, 0)</f>
        <v>241</v>
      </c>
      <c r="AA14" s="33">
        <f>ROUNDUP(0.299 * 88 + 0.587 * 90  + 0.114 * 121, 0)</f>
        <v>93</v>
      </c>
      <c r="AB14" s="28">
        <f>ROUNDUP(0.299 * 0 + 0.587 * 0  + 0.114 * 0, 0)</f>
        <v>0</v>
      </c>
      <c r="AC14" s="29">
        <f>ROUNDUP(0.299 * 35 + 0.587 * 51  + 0.114 * 39, 0)</f>
        <v>45</v>
      </c>
      <c r="AD14" s="29">
        <f>ROUNDUP(0.299 * 211 + 0.587 * 221  + 0.114 * 255, 0)</f>
        <v>222</v>
      </c>
      <c r="AE14" s="29">
        <f>ROUNDUP(0.299 * 70 + 0.587 * 58  + 0.114 * 77, 0)</f>
        <v>64</v>
      </c>
      <c r="AF14" s="29">
        <f>ROUNDUP(0.299 * 24 + 0.587 * 131  + 0.114 * 132, 0)</f>
        <v>100</v>
      </c>
      <c r="AG14" s="29">
        <f>ROUNDUP(0.299 * 113 + 0.587 * 255  + 0.114 * 255, 0)</f>
        <v>213</v>
      </c>
      <c r="AH14" s="29">
        <f>ROUNDUP(0.299 * 93 + 0.587 * 158  + 0.114 * 255, 0)</f>
        <v>150</v>
      </c>
      <c r="AI14" s="30">
        <f t="shared" si="17"/>
        <v>117</v>
      </c>
    </row>
    <row r="15" spans="1:35" ht="40.049999999999997" customHeight="1" thickBot="1" x14ac:dyDescent="0.35">
      <c r="A15" s="20">
        <v>13</v>
      </c>
      <c r="B15" s="22">
        <f t="shared" si="1"/>
        <v>141</v>
      </c>
      <c r="C15" s="22">
        <f t="shared" si="2"/>
        <v>174</v>
      </c>
      <c r="D15" s="22">
        <f t="shared" si="3"/>
        <v>195</v>
      </c>
      <c r="E15" s="22">
        <f t="shared" si="4"/>
        <v>211</v>
      </c>
      <c r="F15" s="22">
        <f t="shared" si="5"/>
        <v>82</v>
      </c>
      <c r="G15" s="22">
        <f t="shared" si="6"/>
        <v>39</v>
      </c>
      <c r="H15" s="22">
        <f t="shared" si="7"/>
        <v>171</v>
      </c>
      <c r="I15" s="22">
        <f t="shared" si="8"/>
        <v>61</v>
      </c>
      <c r="J15" s="22">
        <f t="shared" si="9"/>
        <v>44</v>
      </c>
      <c r="K15" s="22">
        <f t="shared" si="10"/>
        <v>65</v>
      </c>
      <c r="L15" s="22">
        <f t="shared" si="11"/>
        <v>123</v>
      </c>
      <c r="M15" s="22">
        <f t="shared" si="12"/>
        <v>43</v>
      </c>
      <c r="N15" s="22">
        <f t="shared" si="13"/>
        <v>124</v>
      </c>
      <c r="O15" s="22">
        <f t="shared" si="14"/>
        <v>191</v>
      </c>
      <c r="P15" s="22">
        <f t="shared" si="15"/>
        <v>157</v>
      </c>
      <c r="Q15" s="22">
        <f t="shared" si="16"/>
        <v>121</v>
      </c>
      <c r="S15" s="20">
        <v>13</v>
      </c>
      <c r="T15" s="31">
        <f>ROUNDUP(0.299 * 242 + 0.587 * 95  + 0.114 * 90, 0)</f>
        <v>139</v>
      </c>
      <c r="U15" s="32">
        <f>ROUNDUP(0.299 * 255 + 0.587 * 149  + 0.114 * 92, 0)</f>
        <v>175</v>
      </c>
      <c r="V15" s="32">
        <f>ROUNDUP(0.299 * 255 + 0.587 * 184  + 0.114 * 95, 0)</f>
        <v>196</v>
      </c>
      <c r="W15" s="32">
        <f>ROUNDUP(0.299 * 255 + 0.587 * 227  + 0.114 * 117, 0)</f>
        <v>223</v>
      </c>
      <c r="X15" s="32">
        <f>ROUNDUP(0.299 * 109 + 0.587 * 88  + 0.114 * 25, 0)</f>
        <v>88</v>
      </c>
      <c r="Y15" s="32">
        <f>ROUNDUP(0.299 * 12 + 0.587 * 28  + 0.114 * 76, 0)</f>
        <v>29</v>
      </c>
      <c r="Z15" s="32">
        <f>ROUNDUP(0.299 * 186 + 0.587 * 202  + 0.114 * 237, 0)</f>
        <v>202</v>
      </c>
      <c r="AA15" s="33">
        <f>ROUNDUP(0.299 * 46 + 0.587 * 44  + 0.114 * 72, 0)</f>
        <v>48</v>
      </c>
      <c r="AB15" s="28">
        <f>ROUNDUP(0.299 * 21 + 0.587 * 47  + 0.114 * 17, 0)</f>
        <v>36</v>
      </c>
      <c r="AC15" s="29">
        <f>ROUNDUP(0.299 * 68 + 0.587 * 81  + 0.114 * 75, 0)</f>
        <v>77</v>
      </c>
      <c r="AD15" s="29">
        <f>ROUNDUP(0.299 * 114 + 0.587 * 108  + 0.114 * 143, 0)</f>
        <v>114</v>
      </c>
      <c r="AE15" s="29">
        <f>ROUNDUP(0.299 * 37 + 0.587 * 27  + 0.114 * 35, 0)</f>
        <v>31</v>
      </c>
      <c r="AF15" s="29">
        <f>ROUNDUP(0.299 * 66 + 0.587 * 161  + 0.114 * 164, 0)</f>
        <v>133</v>
      </c>
      <c r="AG15" s="29">
        <f>ROUNDUP(0.299 * 102 + 0.587 * 235  + 0.114 * 250, 0)</f>
        <v>197</v>
      </c>
      <c r="AH15" s="29">
        <f>ROUNDUP(0.299 * 93 + 0.587 * 162  + 0.114 * 255, 0)</f>
        <v>152</v>
      </c>
      <c r="AI15" s="30">
        <f t="shared" si="17"/>
        <v>117</v>
      </c>
    </row>
    <row r="16" spans="1:35" ht="40.049999999999997" customHeight="1" thickBot="1" x14ac:dyDescent="0.35">
      <c r="A16" s="20">
        <v>14</v>
      </c>
      <c r="B16" s="22">
        <f t="shared" si="1"/>
        <v>152</v>
      </c>
      <c r="C16" s="22">
        <f t="shared" si="2"/>
        <v>172</v>
      </c>
      <c r="D16" s="22">
        <f t="shared" si="3"/>
        <v>195</v>
      </c>
      <c r="E16" s="22">
        <f t="shared" si="4"/>
        <v>190</v>
      </c>
      <c r="F16" s="22">
        <f t="shared" si="5"/>
        <v>111</v>
      </c>
      <c r="G16" s="22">
        <f t="shared" si="6"/>
        <v>36</v>
      </c>
      <c r="H16" s="22">
        <f t="shared" si="7"/>
        <v>46</v>
      </c>
      <c r="I16" s="22">
        <f t="shared" si="8"/>
        <v>20</v>
      </c>
      <c r="J16" s="22">
        <f t="shared" si="9"/>
        <v>70</v>
      </c>
      <c r="K16" s="22">
        <f t="shared" si="10"/>
        <v>56</v>
      </c>
      <c r="L16" s="22">
        <f t="shared" si="11"/>
        <v>60</v>
      </c>
      <c r="M16" s="22">
        <f t="shared" si="12"/>
        <v>52</v>
      </c>
      <c r="N16" s="22">
        <f t="shared" si="13"/>
        <v>130</v>
      </c>
      <c r="O16" s="22">
        <f t="shared" si="14"/>
        <v>173</v>
      </c>
      <c r="P16" s="22">
        <f t="shared" si="15"/>
        <v>151</v>
      </c>
      <c r="Q16" s="22">
        <f t="shared" si="16"/>
        <v>126</v>
      </c>
      <c r="S16" s="20">
        <v>14</v>
      </c>
      <c r="T16" s="31">
        <f>ROUNDUP(0.299 * 255 + 0.587 * 99  + 0.114 * 94, 0)</f>
        <v>146</v>
      </c>
      <c r="U16" s="32">
        <f>ROUNDUP(0.299 * 255 + 0.587 * 150  + 0.114 * 92, 0)</f>
        <v>175</v>
      </c>
      <c r="V16" s="32">
        <f>ROUNDUP(0.299 * 255 + 0.587 * 195  + 0.114 * 97, 0)</f>
        <v>202</v>
      </c>
      <c r="W16" s="32">
        <f>ROUNDUP(0.299 * 252 + 0.587 * 190  + 0.114 * 98, 0)</f>
        <v>199</v>
      </c>
      <c r="X16" s="32">
        <f>ROUNDUP(0.299 * 81 + 0.587 * 87  + 0.114 * 76, 0)</f>
        <v>84</v>
      </c>
      <c r="Y16" s="32">
        <f>ROUNDUP(0.299 * 33 + 0.587 * 37  + 0.114 * 36, 0)</f>
        <v>36</v>
      </c>
      <c r="Z16" s="32">
        <f>ROUNDUP(0.299 * 25 + 0.587 * 28  + 0.114 * 43, 0)</f>
        <v>29</v>
      </c>
      <c r="AA16" s="33">
        <f>ROUNDUP(0.299 * 20 + 0.587 * 19  + 0.114 * 32, 0)</f>
        <v>21</v>
      </c>
      <c r="AB16" s="28">
        <f>ROUNDUP(0.299 * 76 + 0.587 * 63  + 0.114 * 85, 0)</f>
        <v>70</v>
      </c>
      <c r="AC16" s="29">
        <f>ROUNDUP(0.299 * 61 + 0.587 * 48  + 0.114 * 64, 0)</f>
        <v>54</v>
      </c>
      <c r="AD16" s="29">
        <f>ROUNDUP(0.299 * 58 + 0.587 * 54  + 0.114 * 49, 0)</f>
        <v>55</v>
      </c>
      <c r="AE16" s="29">
        <f>ROUNDUP(0.299 * 58 + 0.587 * 54  + 0.114 * 49, 0)</f>
        <v>55</v>
      </c>
      <c r="AF16" s="29">
        <f>ROUNDUP(0.299 * 88 + 0.587 * 121  + 0.114 * 120, 0)</f>
        <v>112</v>
      </c>
      <c r="AG16" s="29">
        <f>ROUNDUP(0.299 * 90 + 0.587 * 204  + 0.114 * 238, 0)</f>
        <v>174</v>
      </c>
      <c r="AH16" s="29">
        <f>ROUNDUP(0.299 * 93 + 0.587 * 170  + 0.114 * 255, 0)</f>
        <v>157</v>
      </c>
      <c r="AI16" s="30">
        <f>ROUNDUP(0.299 * 95 + 0.587 * 110  + 0.114 * 255, 0)</f>
        <v>123</v>
      </c>
    </row>
    <row r="17" spans="1:53" ht="40.049999999999997" customHeight="1" thickBot="1" x14ac:dyDescent="0.35">
      <c r="A17" s="20">
        <v>15</v>
      </c>
      <c r="B17" s="22">
        <f t="shared" si="1"/>
        <v>130</v>
      </c>
      <c r="C17" s="22">
        <f t="shared" si="2"/>
        <v>169</v>
      </c>
      <c r="D17" s="22">
        <f t="shared" si="3"/>
        <v>183</v>
      </c>
      <c r="E17" s="22">
        <f t="shared" si="4"/>
        <v>181</v>
      </c>
      <c r="F17" s="22">
        <f t="shared" si="5"/>
        <v>205</v>
      </c>
      <c r="G17" s="22">
        <f t="shared" si="6"/>
        <v>202</v>
      </c>
      <c r="H17" s="22">
        <f t="shared" si="7"/>
        <v>183</v>
      </c>
      <c r="I17" s="22">
        <f t="shared" si="8"/>
        <v>180</v>
      </c>
      <c r="J17" s="22">
        <f t="shared" si="9"/>
        <v>153</v>
      </c>
      <c r="K17" s="22">
        <f t="shared" si="10"/>
        <v>158</v>
      </c>
      <c r="L17" s="22">
        <f t="shared" si="11"/>
        <v>173</v>
      </c>
      <c r="M17" s="22">
        <f t="shared" si="12"/>
        <v>178</v>
      </c>
      <c r="N17" s="22">
        <f t="shared" si="13"/>
        <v>168</v>
      </c>
      <c r="O17" s="22">
        <f t="shared" si="14"/>
        <v>176</v>
      </c>
      <c r="P17" s="22">
        <f t="shared" si="15"/>
        <v>142</v>
      </c>
      <c r="Q17" s="22">
        <f t="shared" si="16"/>
        <v>113</v>
      </c>
      <c r="S17" s="20">
        <v>15</v>
      </c>
      <c r="T17" s="81">
        <f>ROUNDUP(0.299 * 229 + 0.587 * 92  + 0.114 * 87, 0)</f>
        <v>133</v>
      </c>
      <c r="U17" s="82">
        <f>ROUNDUP(0.299 * 242 + 0.587 * 145  + 0.114 * 90, 0)</f>
        <v>168</v>
      </c>
      <c r="V17" s="82">
        <f>ROUNDUP(0.299 * 242 + 0.587 * 172  + 0.114 * 91, 0)</f>
        <v>184</v>
      </c>
      <c r="W17" s="82">
        <f>ROUNDUP(0.299 * 242 + 0.587 * 175  + 0.114 * 89, 0)</f>
        <v>186</v>
      </c>
      <c r="X17" s="82">
        <f>ROUNDUP(0.299 * 242 + 0.587 * 213  + 0.114 * 97, 0)</f>
        <v>209</v>
      </c>
      <c r="Y17" s="82">
        <f>ROUNDUP(0.299 * 232 + 0.587 * 228  + 0.114 * 96, 0)</f>
        <v>215</v>
      </c>
      <c r="Z17" s="82">
        <f>ROUNDUP(0.299 * 193 + 0.587 * 196  + 0.114 * 75, 0)</f>
        <v>182</v>
      </c>
      <c r="AA17" s="83">
        <f>ROUNDUP(0.299 * 174 + 0.587 * 209  + 0.114 * 95, 0)</f>
        <v>186</v>
      </c>
      <c r="AB17" s="84">
        <f>ROUNDUP(0.299 * 125 + 0.587 * 205  + 0.114 * 85, 0)</f>
        <v>168</v>
      </c>
      <c r="AC17" s="85">
        <f>ROUNDUP(0.299 * 92 + 0.587 * 205  + 0.114 * 94, 0)</f>
        <v>159</v>
      </c>
      <c r="AD17" s="85">
        <f>ROUNDUP(0.299 * 92 + 0.587 * 216  + 0.114 * 139, 0)</f>
        <v>171</v>
      </c>
      <c r="AE17" s="85">
        <f>ROUNDUP(0.299 * 93 + 0.587 * 224  + 0.114 * 199, 0)</f>
        <v>182</v>
      </c>
      <c r="AF17" s="85">
        <f>ROUNDUP(0.299 * 89 + 0.587 * 227  + 0.114 * 235, 0)</f>
        <v>187</v>
      </c>
      <c r="AG17" s="85">
        <f>ROUNDUP(0.299 * 91 + 0.587 * 206  + 0.114 * 242, 0)</f>
        <v>176</v>
      </c>
      <c r="AH17" s="85">
        <f>ROUNDUP(0.299 * 90 + 0.587 * 153  + 0.114 * 242, 0)</f>
        <v>145</v>
      </c>
      <c r="AI17" s="86">
        <f>ROUNDUP(0.299 * 88 + 0.587 * 101  + 0.114 * 229, 0)</f>
        <v>112</v>
      </c>
    </row>
    <row r="18" spans="1:53" ht="15" thickBot="1" x14ac:dyDescent="0.35">
      <c r="A18" s="98"/>
      <c r="B18" s="99"/>
      <c r="C18" s="99"/>
      <c r="D18" s="99"/>
      <c r="E18" s="99"/>
      <c r="F18" s="99"/>
      <c r="G18" s="99"/>
      <c r="H18" s="99"/>
      <c r="I18" s="99"/>
      <c r="J18" s="99"/>
      <c r="K18" s="99"/>
      <c r="L18" s="99"/>
      <c r="M18" s="99"/>
      <c r="N18" s="99"/>
      <c r="O18" s="99"/>
      <c r="P18" s="99"/>
      <c r="Q18" s="100"/>
    </row>
    <row r="19" spans="1:53" ht="15" thickBot="1" x14ac:dyDescent="0.35"/>
    <row r="20" spans="1:53" ht="15" thickBot="1" x14ac:dyDescent="0.35">
      <c r="A20" s="98" t="s">
        <v>9</v>
      </c>
      <c r="B20" s="99"/>
      <c r="C20" s="99"/>
      <c r="D20" s="99"/>
      <c r="E20" s="99"/>
      <c r="F20" s="99"/>
      <c r="G20" s="99"/>
      <c r="H20" s="99"/>
      <c r="I20" s="99"/>
      <c r="J20" s="99"/>
      <c r="K20" s="99"/>
      <c r="L20" s="99"/>
      <c r="M20" s="99"/>
      <c r="N20" s="99"/>
      <c r="O20" s="99"/>
      <c r="P20" s="99"/>
      <c r="Q20" s="100"/>
      <c r="S20" s="98" t="s">
        <v>7</v>
      </c>
      <c r="T20" s="99"/>
      <c r="U20" s="99"/>
      <c r="V20" s="99"/>
      <c r="W20" s="99"/>
      <c r="X20" s="99"/>
      <c r="Y20" s="99"/>
      <c r="Z20" s="99"/>
      <c r="AA20" s="99"/>
      <c r="AB20" s="99"/>
      <c r="AC20" s="99"/>
      <c r="AD20" s="99"/>
      <c r="AE20" s="99"/>
      <c r="AF20" s="99"/>
      <c r="AG20" s="99"/>
      <c r="AH20" s="99"/>
      <c r="AI20" s="100"/>
      <c r="AK20" s="98" t="s">
        <v>8</v>
      </c>
      <c r="AL20" s="99"/>
      <c r="AM20" s="99"/>
      <c r="AN20" s="99"/>
      <c r="AO20" s="99"/>
      <c r="AP20" s="99"/>
      <c r="AQ20" s="99"/>
      <c r="AR20" s="99"/>
      <c r="AS20" s="99"/>
      <c r="AT20" s="99"/>
      <c r="AU20" s="99"/>
      <c r="AV20" s="99"/>
      <c r="AW20" s="99"/>
      <c r="AX20" s="99"/>
      <c r="AY20" s="99"/>
      <c r="AZ20" s="99"/>
      <c r="BA20" s="100"/>
    </row>
    <row r="21" spans="1:53" ht="29.4" thickBot="1" x14ac:dyDescent="0.35">
      <c r="A21" s="41" t="s">
        <v>1</v>
      </c>
      <c r="B21" s="56">
        <v>0</v>
      </c>
      <c r="C21" s="57">
        <v>1</v>
      </c>
      <c r="D21" s="57">
        <v>2</v>
      </c>
      <c r="E21" s="57">
        <v>3</v>
      </c>
      <c r="F21" s="57">
        <v>4</v>
      </c>
      <c r="G21" s="57">
        <v>5</v>
      </c>
      <c r="H21" s="57">
        <v>6</v>
      </c>
      <c r="I21" s="58">
        <v>7</v>
      </c>
      <c r="J21" s="53">
        <v>8</v>
      </c>
      <c r="K21" s="54">
        <v>9</v>
      </c>
      <c r="L21" s="54">
        <v>10</v>
      </c>
      <c r="M21" s="54">
        <v>11</v>
      </c>
      <c r="N21" s="54">
        <v>12</v>
      </c>
      <c r="O21" s="54">
        <v>13</v>
      </c>
      <c r="P21" s="54">
        <v>14</v>
      </c>
      <c r="Q21" s="55">
        <v>15</v>
      </c>
      <c r="S21" s="41" t="s">
        <v>1</v>
      </c>
      <c r="T21" s="56">
        <v>0</v>
      </c>
      <c r="U21" s="57">
        <v>1</v>
      </c>
      <c r="V21" s="57">
        <v>2</v>
      </c>
      <c r="W21" s="57">
        <v>3</v>
      </c>
      <c r="X21" s="57">
        <v>4</v>
      </c>
      <c r="Y21" s="57">
        <v>5</v>
      </c>
      <c r="Z21" s="57">
        <v>6</v>
      </c>
      <c r="AA21" s="58">
        <v>7</v>
      </c>
      <c r="AB21" s="53">
        <v>8</v>
      </c>
      <c r="AC21" s="54">
        <v>9</v>
      </c>
      <c r="AD21" s="54">
        <v>10</v>
      </c>
      <c r="AE21" s="54">
        <v>11</v>
      </c>
      <c r="AF21" s="54">
        <v>12</v>
      </c>
      <c r="AG21" s="54">
        <v>13</v>
      </c>
      <c r="AH21" s="54">
        <v>14</v>
      </c>
      <c r="AI21" s="55">
        <v>15</v>
      </c>
      <c r="AK21" s="41" t="s">
        <v>1</v>
      </c>
      <c r="AL21" s="56">
        <v>0</v>
      </c>
      <c r="AM21" s="57">
        <v>1</v>
      </c>
      <c r="AN21" s="57">
        <v>2</v>
      </c>
      <c r="AO21" s="57">
        <v>3</v>
      </c>
      <c r="AP21" s="57">
        <v>4</v>
      </c>
      <c r="AQ21" s="57">
        <v>5</v>
      </c>
      <c r="AR21" s="57">
        <v>6</v>
      </c>
      <c r="AS21" s="58">
        <v>7</v>
      </c>
      <c r="AT21" s="53">
        <v>8</v>
      </c>
      <c r="AU21" s="54">
        <v>9</v>
      </c>
      <c r="AV21" s="54">
        <v>10</v>
      </c>
      <c r="AW21" s="54">
        <v>11</v>
      </c>
      <c r="AX21" s="54">
        <v>12</v>
      </c>
      <c r="AY21" s="54">
        <v>13</v>
      </c>
      <c r="AZ21" s="54">
        <v>14</v>
      </c>
      <c r="BA21" s="55">
        <v>15</v>
      </c>
    </row>
    <row r="22" spans="1:53" x14ac:dyDescent="0.3">
      <c r="A22" s="59">
        <v>0</v>
      </c>
      <c r="B22" s="1">
        <f>'Сжатое изображение'!B2*'Матрица квантования'!B2</f>
        <v>1254</v>
      </c>
      <c r="C22" s="2">
        <f>'Сжатое изображение'!C2*'Матрица квантования'!C2</f>
        <v>0</v>
      </c>
      <c r="D22" s="2">
        <f>'Сжатое изображение'!D2*'Матрица квантования'!D2</f>
        <v>-7</v>
      </c>
      <c r="E22" s="2">
        <f>'Сжатое изображение'!E2*'Матрица квантования'!E2</f>
        <v>-27</v>
      </c>
      <c r="F22" s="2">
        <f>'Сжатое изображение'!F2*'Матрица квантования'!F2</f>
        <v>-99</v>
      </c>
      <c r="G22" s="2">
        <f>'Сжатое изображение'!G2*'Матрица квантования'!G2</f>
        <v>65</v>
      </c>
      <c r="H22" s="2">
        <f>'Сжатое изображение'!H2*'Матрица квантования'!H2</f>
        <v>-135</v>
      </c>
      <c r="I22" s="88">
        <f>'Сжатое изображение'!I2*'Матрица квантования'!I2</f>
        <v>17</v>
      </c>
      <c r="J22" s="50">
        <f>'Сжатое изображение'!J2*'Матрица квантования'!J2</f>
        <v>1140</v>
      </c>
      <c r="K22" s="43">
        <f>'Сжатое изображение'!K2*'Матрица квантования'!K2</f>
        <v>-30</v>
      </c>
      <c r="L22" s="43">
        <f>'Сжатое изображение'!L2*'Матрица квантования'!L2</f>
        <v>-14</v>
      </c>
      <c r="M22" s="43">
        <f>'Сжатое изображение'!M2*'Матрица квантования'!M2</f>
        <v>99</v>
      </c>
      <c r="N22" s="43">
        <f>'Сжатое изображение'!N2*'Матрица квантования'!N2</f>
        <v>-121</v>
      </c>
      <c r="O22" s="43">
        <f>'Сжатое изображение'!O2*'Матрица квантования'!O2</f>
        <v>0</v>
      </c>
      <c r="P22" s="43">
        <f>'Сжатое изображение'!P2*'Матрица квантования'!P2</f>
        <v>15</v>
      </c>
      <c r="Q22" s="44">
        <f>'Сжатое изображение'!Q2*'Матрица квантования'!Q2</f>
        <v>-51</v>
      </c>
      <c r="S22" s="78">
        <v>0</v>
      </c>
      <c r="T22" s="1">
        <f t="array" ref="T22:AA29">MMULT('DCT матрица'!B20:I27,'Итоговое сжатие'!B22:I29)</f>
        <v>549.24393228869053</v>
      </c>
      <c r="U22" s="2">
        <v>-74.671590045075632</v>
      </c>
      <c r="V22" s="2">
        <v>-22.800270700645399</v>
      </c>
      <c r="W22" s="2">
        <v>-7.8099304470708324</v>
      </c>
      <c r="X22" s="2">
        <v>-22.045509863513296</v>
      </c>
      <c r="Y22" s="2">
        <v>-13.891607439184709</v>
      </c>
      <c r="Z22" s="2">
        <v>4.6960131604670927</v>
      </c>
      <c r="AA22" s="3">
        <v>-5.8908643968867382</v>
      </c>
      <c r="AB22" s="50">
        <f t="array" ref="AB22:AI29">MMULT('DCT матрица'!J20:Q27,'Итоговое сжатие'!J22:Q29)</f>
        <v>489.46946793477059</v>
      </c>
      <c r="AC22" s="43">
        <v>66.733918490125319</v>
      </c>
      <c r="AD22" s="43">
        <v>-38.784661408033926</v>
      </c>
      <c r="AE22" s="43">
        <v>23.135795402678344</v>
      </c>
      <c r="AF22" s="43">
        <v>0.49683403984007324</v>
      </c>
      <c r="AG22" s="43">
        <v>4.0853176821427759</v>
      </c>
      <c r="AH22" s="43">
        <v>-9.584245891524116</v>
      </c>
      <c r="AI22" s="44">
        <v>12.488016790125723</v>
      </c>
      <c r="AK22" s="78">
        <v>0</v>
      </c>
      <c r="AL22" s="1">
        <f t="array" ref="AL22:AS29">ROUNDDOWN(MMULT(T22:AA29,'DCT матрица'!B2:I9),0)</f>
        <v>132</v>
      </c>
      <c r="AM22" s="2">
        <v>173</v>
      </c>
      <c r="AN22" s="2">
        <v>187</v>
      </c>
      <c r="AO22" s="2">
        <v>188</v>
      </c>
      <c r="AP22" s="2">
        <v>204</v>
      </c>
      <c r="AQ22" s="2">
        <v>229</v>
      </c>
      <c r="AR22" s="2">
        <v>217</v>
      </c>
      <c r="AS22" s="3">
        <v>221</v>
      </c>
      <c r="AT22" s="50">
        <f t="array" ref="AT22:BA29">ROUNDDOWN(MMULT(AB22:AI29,'DCT матрица'!J2:Q9),0)</f>
        <v>198</v>
      </c>
      <c r="AU22" s="43">
        <v>189</v>
      </c>
      <c r="AV22" s="43">
        <v>188</v>
      </c>
      <c r="AW22" s="43">
        <v>188</v>
      </c>
      <c r="AX22" s="43">
        <v>197</v>
      </c>
      <c r="AY22" s="43">
        <v>163</v>
      </c>
      <c r="AZ22" s="43">
        <v>149</v>
      </c>
      <c r="BA22" s="44">
        <v>108</v>
      </c>
    </row>
    <row r="23" spans="1:53" x14ac:dyDescent="0.3">
      <c r="A23" s="60">
        <v>1</v>
      </c>
      <c r="B23" s="7">
        <f>'Сжатое изображение'!B3*'Матрица квантования'!B3</f>
        <v>195</v>
      </c>
      <c r="C23" s="8">
        <f>'Сжатое изображение'!C3*'Матрица квантования'!C3</f>
        <v>-49</v>
      </c>
      <c r="D23" s="8">
        <f>'Сжатое изображение'!D3*'Матрица квантования'!D3</f>
        <v>-99</v>
      </c>
      <c r="E23" s="8">
        <f>'Сжатое изображение'!E3*'Матрица квантования'!E3</f>
        <v>-55</v>
      </c>
      <c r="F23" s="8">
        <f>'Сжатое изображение'!F3*'Матрица квантования'!F3</f>
        <v>104</v>
      </c>
      <c r="G23" s="8">
        <f>'Сжатое изображение'!G3*'Матрица квантования'!G3</f>
        <v>-90</v>
      </c>
      <c r="H23" s="8">
        <f>'Сжатое изображение'!H3*'Матрица квантования'!H3</f>
        <v>119</v>
      </c>
      <c r="I23" s="89">
        <f>'Сжатое изображение'!I3*'Матрица квантования'!I3</f>
        <v>0</v>
      </c>
      <c r="J23" s="47">
        <f>'Сжатое изображение'!J3*'Матрица квантования'!J3</f>
        <v>150</v>
      </c>
      <c r="K23" s="45">
        <f>'Сжатое изображение'!K3*'Матрица квантования'!K3</f>
        <v>91</v>
      </c>
      <c r="L23" s="45">
        <f>'Сжатое изображение'!L3*'Матрица квантования'!L3</f>
        <v>-72</v>
      </c>
      <c r="M23" s="45">
        <f>'Сжатое изображение'!M3*'Матрица квантования'!M3</f>
        <v>33</v>
      </c>
      <c r="N23" s="45">
        <f>'Сжатое изображение'!N3*'Матрица квантования'!N3</f>
        <v>130</v>
      </c>
      <c r="O23" s="45">
        <f>'Сжатое изображение'!O3*'Матрица квантования'!O3</f>
        <v>-30</v>
      </c>
      <c r="P23" s="45">
        <f>'Сжатое изображение'!P3*'Матрица квантования'!P3</f>
        <v>-34</v>
      </c>
      <c r="Q23" s="46">
        <f>'Сжатое изображение'!Q3*'Матрица квантования'!Q3</f>
        <v>57</v>
      </c>
      <c r="S23" s="79">
        <v>1</v>
      </c>
      <c r="T23" s="7">
        <v>559.40591692867906</v>
      </c>
      <c r="U23" s="8">
        <v>-64.12178664771146</v>
      </c>
      <c r="V23" s="8">
        <v>-17.337400243067162</v>
      </c>
      <c r="W23" s="8">
        <v>11.796777974961479</v>
      </c>
      <c r="X23" s="8">
        <v>-26.467025230839212</v>
      </c>
      <c r="Y23" s="8">
        <v>7.7533943168194224</v>
      </c>
      <c r="Z23" s="8">
        <v>-6.9385572086046601</v>
      </c>
      <c r="AA23" s="9">
        <v>-15.266545725024844</v>
      </c>
      <c r="AB23" s="47">
        <v>508.03685955936089</v>
      </c>
      <c r="AC23" s="45">
        <v>55.798863666711696</v>
      </c>
      <c r="AD23" s="45">
        <v>-43.324396134030778</v>
      </c>
      <c r="AE23" s="45">
        <v>7.0988810152540989</v>
      </c>
      <c r="AF23" s="45">
        <v>3.9204033310589868</v>
      </c>
      <c r="AG23" s="45">
        <v>-10.496266658044011</v>
      </c>
      <c r="AH23" s="45">
        <v>1.379685073626872</v>
      </c>
      <c r="AI23" s="46">
        <v>3.6277834253010255</v>
      </c>
      <c r="AK23" s="79">
        <v>1</v>
      </c>
      <c r="AL23" s="7">
        <v>153</v>
      </c>
      <c r="AM23" s="8">
        <v>179</v>
      </c>
      <c r="AN23" s="8">
        <v>178</v>
      </c>
      <c r="AO23" s="8">
        <v>198</v>
      </c>
      <c r="AP23" s="8">
        <v>196</v>
      </c>
      <c r="AQ23" s="8">
        <v>236</v>
      </c>
      <c r="AR23" s="8">
        <v>234</v>
      </c>
      <c r="AS23" s="9">
        <v>204</v>
      </c>
      <c r="AT23" s="47">
        <v>189</v>
      </c>
      <c r="AU23" s="45">
        <v>195</v>
      </c>
      <c r="AV23" s="45">
        <v>199</v>
      </c>
      <c r="AW23" s="45">
        <v>198</v>
      </c>
      <c r="AX23" s="45">
        <v>203</v>
      </c>
      <c r="AY23" s="45">
        <v>174</v>
      </c>
      <c r="AZ23" s="45">
        <v>142</v>
      </c>
      <c r="BA23" s="46">
        <v>133</v>
      </c>
    </row>
    <row r="24" spans="1:53" x14ac:dyDescent="0.3">
      <c r="A24" s="60">
        <v>2</v>
      </c>
      <c r="B24" s="7">
        <f>'Сжатое изображение'!B4*'Матрица квантования'!B4</f>
        <v>42</v>
      </c>
      <c r="C24" s="8">
        <f>'Сжатое изображение'!C4*'Матрица квантования'!C4</f>
        <v>-108</v>
      </c>
      <c r="D24" s="8">
        <f>'Сжатое изображение'!D4*'Матрица квантования'!D4</f>
        <v>44</v>
      </c>
      <c r="E24" s="8">
        <f>'Сжатое изображение'!E4*'Матрица квантования'!E4</f>
        <v>117</v>
      </c>
      <c r="F24" s="8">
        <f>'Сжатое изображение'!F4*'Матрица квантования'!F4</f>
        <v>-30</v>
      </c>
      <c r="G24" s="8">
        <f>'Сжатое изображение'!G4*'Матрица квантования'!G4</f>
        <v>-34</v>
      </c>
      <c r="H24" s="8">
        <f>'Сжатое изображение'!H4*'Матрица квантования'!H4</f>
        <v>0</v>
      </c>
      <c r="I24" s="89">
        <f>'Сжатое изображение'!I4*'Матрица квантования'!I4</f>
        <v>-42</v>
      </c>
      <c r="J24" s="47">
        <f>'Сжатое изображение'!J4*'Матрица квантования'!J4</f>
        <v>0</v>
      </c>
      <c r="K24" s="45">
        <f>'Сжатое изображение'!K4*'Матрица квантования'!K4</f>
        <v>0</v>
      </c>
      <c r="L24" s="45">
        <f>'Сжатое изображение'!L4*'Матрица квантования'!L4</f>
        <v>-33</v>
      </c>
      <c r="M24" s="45">
        <f>'Сжатое изображение'!M4*'Матрица квантования'!M4</f>
        <v>-52</v>
      </c>
      <c r="N24" s="45">
        <f>'Сжатое изображение'!N4*'Матрица квантования'!N4</f>
        <v>0</v>
      </c>
      <c r="O24" s="45">
        <f>'Сжатое изображение'!O4*'Матрица квантования'!O4</f>
        <v>34</v>
      </c>
      <c r="P24" s="45">
        <f>'Сжатое изображение'!P4*'Матрица квантования'!P4</f>
        <v>0</v>
      </c>
      <c r="Q24" s="46">
        <f>'Сжатое изображение'!Q4*'Матрица квантования'!Q4</f>
        <v>0</v>
      </c>
      <c r="S24" s="79">
        <v>2</v>
      </c>
      <c r="T24" s="7">
        <v>447.21028601931852</v>
      </c>
      <c r="U24" s="8">
        <v>66.258239077491965</v>
      </c>
      <c r="V24" s="8">
        <v>-104.42464658521814</v>
      </c>
      <c r="W24" s="8">
        <v>0.61925357303304551</v>
      </c>
      <c r="X24" s="8">
        <v>43.119068159417026</v>
      </c>
      <c r="Y24" s="8">
        <v>-67.805104034672496</v>
      </c>
      <c r="Z24" s="8">
        <v>26.534924479669716</v>
      </c>
      <c r="AA24" s="9">
        <v>16.680479066970268</v>
      </c>
      <c r="AB24" s="47">
        <v>396.04501751220289</v>
      </c>
      <c r="AC24" s="45">
        <v>-63.073698974164003</v>
      </c>
      <c r="AD24" s="45">
        <v>-65.546880432059936</v>
      </c>
      <c r="AE24" s="45">
        <v>61.855091320403048</v>
      </c>
      <c r="AF24" s="45">
        <v>28.958497269465191</v>
      </c>
      <c r="AG24" s="45">
        <v>11.89675974699648</v>
      </c>
      <c r="AH24" s="45">
        <v>-16.878267571869657</v>
      </c>
      <c r="AI24" s="46">
        <v>-21.992363305638495</v>
      </c>
      <c r="AK24" s="79">
        <v>2</v>
      </c>
      <c r="AL24" s="7">
        <v>145</v>
      </c>
      <c r="AM24" s="8">
        <v>166</v>
      </c>
      <c r="AN24" s="8">
        <v>193</v>
      </c>
      <c r="AO24" s="8">
        <v>186</v>
      </c>
      <c r="AP24" s="8">
        <v>246</v>
      </c>
      <c r="AQ24" s="8">
        <v>156</v>
      </c>
      <c r="AR24" s="8">
        <v>54</v>
      </c>
      <c r="AS24" s="9">
        <v>114</v>
      </c>
      <c r="AT24" s="47">
        <v>112</v>
      </c>
      <c r="AU24" s="45">
        <v>93</v>
      </c>
      <c r="AV24" s="45">
        <v>78</v>
      </c>
      <c r="AW24" s="45">
        <v>176</v>
      </c>
      <c r="AX24" s="45">
        <v>191</v>
      </c>
      <c r="AY24" s="45">
        <v>190</v>
      </c>
      <c r="AZ24" s="45">
        <v>157</v>
      </c>
      <c r="BA24" s="46">
        <v>120</v>
      </c>
    </row>
    <row r="25" spans="1:53" x14ac:dyDescent="0.3">
      <c r="A25" s="60">
        <v>3</v>
      </c>
      <c r="B25" s="7">
        <f>'Сжатое изображение'!B5*'Матрица квантования'!B5</f>
        <v>-18</v>
      </c>
      <c r="C25" s="8">
        <f>'Сжатое изображение'!C5*'Матрица квантования'!C5</f>
        <v>0</v>
      </c>
      <c r="D25" s="8">
        <f>'Сжатое изображение'!D5*'Матрица квантования'!D5</f>
        <v>13</v>
      </c>
      <c r="E25" s="8">
        <f>'Сжатое изображение'!E5*'Матрица квантования'!E5</f>
        <v>15</v>
      </c>
      <c r="F25" s="8">
        <f>'Сжатое изображение'!F5*'Матрица квантования'!F5</f>
        <v>-153</v>
      </c>
      <c r="G25" s="8">
        <f>'Сжатое изображение'!G5*'Матрица квантования'!G5</f>
        <v>95</v>
      </c>
      <c r="H25" s="8">
        <f>'Сжатое изображение'!H5*'Матрица квантования'!H5</f>
        <v>0</v>
      </c>
      <c r="I25" s="89">
        <f>'Сжатое изображение'!I5*'Матрица квантования'!I5</f>
        <v>0</v>
      </c>
      <c r="J25" s="47">
        <f>'Сжатое изображение'!J5*'Матрица квантования'!J5</f>
        <v>144</v>
      </c>
      <c r="K25" s="45">
        <f>'Сжатое изображение'!K5*'Матрица квантования'!K5</f>
        <v>154</v>
      </c>
      <c r="L25" s="45">
        <f>'Сжатое изображение'!L5*'Матрица квантования'!L5</f>
        <v>13</v>
      </c>
      <c r="M25" s="45">
        <f>'Сжатое изображение'!M5*'Матрица квантования'!M5</f>
        <v>-105</v>
      </c>
      <c r="N25" s="45">
        <f>'Сжатое изображение'!N5*'Матрица квантования'!N5</f>
        <v>-68</v>
      </c>
      <c r="O25" s="45">
        <f>'Сжатое изображение'!O5*'Матрица квантования'!O5</f>
        <v>38</v>
      </c>
      <c r="P25" s="45">
        <f>'Сжатое изображение'!P5*'Матрица квантования'!P5</f>
        <v>21</v>
      </c>
      <c r="Q25" s="46">
        <f>'Сжатое изображение'!Q5*'Матрица квантования'!Q5</f>
        <v>-23</v>
      </c>
      <c r="S25" s="79">
        <v>3</v>
      </c>
      <c r="T25" s="7">
        <v>468.15475126934962</v>
      </c>
      <c r="U25" s="8">
        <v>4.5676797946620269</v>
      </c>
      <c r="V25" s="8">
        <v>18.007223220508802</v>
      </c>
      <c r="W25" s="8">
        <v>-131.74516209080744</v>
      </c>
      <c r="X25" s="8">
        <v>73.820229925311168</v>
      </c>
      <c r="Y25" s="8">
        <v>-12.959265635317657</v>
      </c>
      <c r="Z25" s="8">
        <v>-62.717742211280331</v>
      </c>
      <c r="AA25" s="9">
        <v>36.63671758890704</v>
      </c>
      <c r="AB25" s="47">
        <v>355.58805277317066</v>
      </c>
      <c r="AC25" s="45">
        <v>-39.708861009186137</v>
      </c>
      <c r="AD25" s="45">
        <v>40.206431651361946</v>
      </c>
      <c r="AE25" s="45">
        <v>160.45520997634418</v>
      </c>
      <c r="AF25" s="45">
        <v>5.3796860539472648</v>
      </c>
      <c r="AG25" s="45">
        <v>-61.029090726809727</v>
      </c>
      <c r="AH25" s="45">
        <v>-14.240092215862717</v>
      </c>
      <c r="AI25" s="46">
        <v>17.144488235885611</v>
      </c>
      <c r="AK25" s="79">
        <v>3</v>
      </c>
      <c r="AL25" s="7">
        <v>135</v>
      </c>
      <c r="AM25" s="8">
        <v>182</v>
      </c>
      <c r="AN25" s="8">
        <v>186</v>
      </c>
      <c r="AO25" s="8">
        <v>208</v>
      </c>
      <c r="AP25" s="8">
        <v>181</v>
      </c>
      <c r="AQ25" s="8">
        <v>27</v>
      </c>
      <c r="AR25" s="8">
        <v>160</v>
      </c>
      <c r="AS25" s="9">
        <v>240</v>
      </c>
      <c r="AT25" s="47">
        <v>175</v>
      </c>
      <c r="AU25" s="45">
        <v>131</v>
      </c>
      <c r="AV25" s="45">
        <v>21</v>
      </c>
      <c r="AW25" s="45">
        <v>29</v>
      </c>
      <c r="AX25" s="45">
        <v>193</v>
      </c>
      <c r="AY25" s="45">
        <v>198</v>
      </c>
      <c r="AZ25" s="45">
        <v>145</v>
      </c>
      <c r="BA25" s="46">
        <v>111</v>
      </c>
    </row>
    <row r="26" spans="1:53" x14ac:dyDescent="0.3">
      <c r="A26" s="60">
        <v>4</v>
      </c>
      <c r="B26" s="7">
        <f>'Сжатое изображение'!B6*'Матрица квантования'!B6</f>
        <v>55</v>
      </c>
      <c r="C26" s="8">
        <f>'Сжатое изображение'!C6*'Матрица квантования'!C6</f>
        <v>-52</v>
      </c>
      <c r="D26" s="8">
        <f>'Сжатое изображение'!D6*'Матрица квантования'!D6</f>
        <v>45</v>
      </c>
      <c r="E26" s="8">
        <f>'Сжатое изображение'!E6*'Матрица квантования'!E6</f>
        <v>-102</v>
      </c>
      <c r="F26" s="8">
        <f>'Сжатое изображение'!F6*'Матрица квантования'!F6</f>
        <v>95</v>
      </c>
      <c r="G26" s="8">
        <f>'Сжатое изображение'!G6*'Матрица квантования'!G6</f>
        <v>21</v>
      </c>
      <c r="H26" s="8">
        <f>'Сжатое изображение'!H6*'Матрица квантования'!H6</f>
        <v>-46</v>
      </c>
      <c r="I26" s="89">
        <f>'Сжатое изображение'!I6*'Матрица квантования'!I6</f>
        <v>0</v>
      </c>
      <c r="J26" s="47">
        <f>'Сжатое изображение'!J6*'Матрица квантования'!J6</f>
        <v>-110</v>
      </c>
      <c r="K26" s="45">
        <f>'Сжатое изображение'!K6*'Матрица квантования'!K6</f>
        <v>-65</v>
      </c>
      <c r="L26" s="45">
        <f>'Сжатое изображение'!L6*'Матрица квантования'!L6</f>
        <v>45</v>
      </c>
      <c r="M26" s="45">
        <f>'Сжатое изображение'!M6*'Матрица квантования'!M6</f>
        <v>85</v>
      </c>
      <c r="N26" s="45">
        <f>'Сжатое изображение'!N6*'Матрица квантования'!N6</f>
        <v>0</v>
      </c>
      <c r="O26" s="45">
        <f>'Сжатое изображение'!O6*'Матрица квантования'!O6</f>
        <v>-63</v>
      </c>
      <c r="P26" s="45">
        <f>'Сжатое изображение'!P6*'Матрица квантования'!P6</f>
        <v>0</v>
      </c>
      <c r="Q26" s="46">
        <f>'Сжатое изображение'!Q6*'Матрица квантования'!Q6</f>
        <v>50</v>
      </c>
      <c r="S26" s="79">
        <v>4</v>
      </c>
      <c r="T26" s="7">
        <v>435.86583939479607</v>
      </c>
      <c r="U26" s="8">
        <v>38.924902044236873</v>
      </c>
      <c r="V26" s="8">
        <v>-17.245894536043181</v>
      </c>
      <c r="W26" s="8">
        <v>-67.565517986077765</v>
      </c>
      <c r="X26" s="8">
        <v>-48.932271074718713</v>
      </c>
      <c r="Y26" s="8">
        <v>114.74943873187172</v>
      </c>
      <c r="Z26" s="8">
        <v>-85.933490531199624</v>
      </c>
      <c r="AA26" s="9">
        <v>14.187038056738318</v>
      </c>
      <c r="AB26" s="47">
        <v>361.25142887802053</v>
      </c>
      <c r="AC26" s="45">
        <v>-33.971901553742434</v>
      </c>
      <c r="AD26" s="45">
        <v>26.743873568166919</v>
      </c>
      <c r="AE26" s="45">
        <v>25.730525532234399</v>
      </c>
      <c r="AF26" s="45">
        <v>-99.741325521916565</v>
      </c>
      <c r="AG26" s="45">
        <v>-34.064712211581032</v>
      </c>
      <c r="AH26" s="45">
        <v>24.846693933660923</v>
      </c>
      <c r="AI26" s="46">
        <v>-6.753775478484533</v>
      </c>
      <c r="AK26" s="79">
        <v>4</v>
      </c>
      <c r="AL26" s="7">
        <v>136</v>
      </c>
      <c r="AM26" s="8">
        <v>170</v>
      </c>
      <c r="AN26" s="8">
        <v>196</v>
      </c>
      <c r="AO26" s="8">
        <v>224</v>
      </c>
      <c r="AP26" s="8">
        <v>97</v>
      </c>
      <c r="AQ26" s="8">
        <v>73</v>
      </c>
      <c r="AR26" s="8">
        <v>245</v>
      </c>
      <c r="AS26" s="9">
        <v>88</v>
      </c>
      <c r="AT26" s="47">
        <v>93</v>
      </c>
      <c r="AU26" s="45">
        <v>158</v>
      </c>
      <c r="AV26" s="45">
        <v>141</v>
      </c>
      <c r="AW26" s="45">
        <v>54</v>
      </c>
      <c r="AX26" s="45">
        <v>96</v>
      </c>
      <c r="AY26" s="45">
        <v>197</v>
      </c>
      <c r="AZ26" s="45">
        <v>154</v>
      </c>
      <c r="BA26" s="46">
        <v>125</v>
      </c>
    </row>
    <row r="27" spans="1:53" x14ac:dyDescent="0.3">
      <c r="A27" s="60">
        <v>5</v>
      </c>
      <c r="B27" s="7">
        <f>'Сжатое изображение'!B7*'Матрица квантования'!B7</f>
        <v>-39</v>
      </c>
      <c r="C27" s="8">
        <f>'Сжатое изображение'!C7*'Матрица квантования'!C7</f>
        <v>15</v>
      </c>
      <c r="D27" s="8">
        <f>'Сжатое изображение'!D7*'Матрица квантования'!D7</f>
        <v>0</v>
      </c>
      <c r="E27" s="8">
        <f>'Сжатое изображение'!E7*'Матрица квантования'!E7</f>
        <v>0</v>
      </c>
      <c r="F27" s="8">
        <f>'Сжатое изображение'!F7*'Матрица квантования'!F7</f>
        <v>21</v>
      </c>
      <c r="G27" s="8">
        <f>'Сжатое изображение'!G7*'Матрица квантования'!G7</f>
        <v>-69</v>
      </c>
      <c r="H27" s="8">
        <f>'Сжатое изображение'!H7*'Матрица квантования'!H7</f>
        <v>0</v>
      </c>
      <c r="I27" s="89">
        <f>'Сжатое изображение'!I7*'Матрица квантования'!I7</f>
        <v>27</v>
      </c>
      <c r="J27" s="47">
        <f>'Сжатое изображение'!J7*'Матрица квантования'!J7</f>
        <v>-26</v>
      </c>
      <c r="K27" s="45">
        <f>'Сжатое изображение'!K7*'Матрица квантования'!K7</f>
        <v>-15</v>
      </c>
      <c r="L27" s="45">
        <f>'Сжатое изображение'!L7*'Матрица квантования'!L7</f>
        <v>17</v>
      </c>
      <c r="M27" s="45">
        <f>'Сжатое изображение'!M7*'Матрица квантования'!M7</f>
        <v>57</v>
      </c>
      <c r="N27" s="45">
        <f>'Сжатое изображение'!N7*'Матрица квантования'!N7</f>
        <v>21</v>
      </c>
      <c r="O27" s="45">
        <f>'Сжатое изображение'!O7*'Матрица квантования'!O7</f>
        <v>0</v>
      </c>
      <c r="P27" s="45">
        <f>'Сжатое изображение'!P7*'Матрица квантования'!P7</f>
        <v>-25</v>
      </c>
      <c r="Q27" s="46">
        <f>'Сжатое изображение'!Q7*'Матрица квантования'!Q7</f>
        <v>0</v>
      </c>
      <c r="S27" s="79">
        <v>5</v>
      </c>
      <c r="T27" s="7">
        <v>342.96346150101022</v>
      </c>
      <c r="U27" s="8">
        <v>58.958980397713844</v>
      </c>
      <c r="V27" s="8">
        <v>15.709600704024806</v>
      </c>
      <c r="W27" s="8">
        <v>7.6397934292424488</v>
      </c>
      <c r="X27" s="8">
        <v>-168.81728073865449</v>
      </c>
      <c r="Y27" s="8">
        <v>88.83205079451146</v>
      </c>
      <c r="Z27" s="8">
        <v>-39.577933249662934</v>
      </c>
      <c r="AA27" s="9">
        <v>11.413040372534823</v>
      </c>
      <c r="AB27" s="47">
        <v>515.55484494632015</v>
      </c>
      <c r="AC27" s="45">
        <v>103.52838836838502</v>
      </c>
      <c r="AD27" s="45">
        <v>1.3487113746727122</v>
      </c>
      <c r="AE27" s="45">
        <v>-51.4575280835437</v>
      </c>
      <c r="AF27" s="45">
        <v>-93.269188545277828</v>
      </c>
      <c r="AG27" s="45">
        <v>65.833707392907257</v>
      </c>
      <c r="AH27" s="45">
        <v>27.484869289667859</v>
      </c>
      <c r="AI27" s="46">
        <v>-76.217928037030092</v>
      </c>
      <c r="AK27" s="79">
        <v>5</v>
      </c>
      <c r="AL27" s="7">
        <v>119</v>
      </c>
      <c r="AM27" s="8">
        <v>179</v>
      </c>
      <c r="AN27" s="8">
        <v>185</v>
      </c>
      <c r="AO27" s="8">
        <v>96</v>
      </c>
      <c r="AP27" s="8">
        <v>26</v>
      </c>
      <c r="AQ27" s="8">
        <v>133</v>
      </c>
      <c r="AR27" s="8">
        <v>225</v>
      </c>
      <c r="AS27" s="9">
        <v>3</v>
      </c>
      <c r="AT27" s="47">
        <v>195</v>
      </c>
      <c r="AU27" s="45">
        <v>239</v>
      </c>
      <c r="AV27" s="45">
        <v>256</v>
      </c>
      <c r="AW27" s="45">
        <v>232</v>
      </c>
      <c r="AX27" s="45">
        <v>54</v>
      </c>
      <c r="AY27" s="45">
        <v>198</v>
      </c>
      <c r="AZ27" s="45">
        <v>165</v>
      </c>
      <c r="BA27" s="46">
        <v>114</v>
      </c>
    </row>
    <row r="28" spans="1:53" x14ac:dyDescent="0.3">
      <c r="A28" s="60">
        <v>6</v>
      </c>
      <c r="B28" s="7">
        <f>'Сжатое изображение'!B8*'Матрица квантования'!B8</f>
        <v>-45</v>
      </c>
      <c r="C28" s="8">
        <f>'Сжатое изображение'!C8*'Матрица квантования'!C8</f>
        <v>51</v>
      </c>
      <c r="D28" s="8">
        <f>'Сжатое изображение'!D8*'Матрица квантования'!D8</f>
        <v>-38</v>
      </c>
      <c r="E28" s="8">
        <f>'Сжатое изображение'!E8*'Матрица квантования'!E8</f>
        <v>0</v>
      </c>
      <c r="F28" s="8">
        <f>'Сжатое изображение'!F8*'Матрица квантования'!F8</f>
        <v>0</v>
      </c>
      <c r="G28" s="8">
        <f>'Сжатое изображение'!G8*'Матрица квантования'!G8</f>
        <v>-25</v>
      </c>
      <c r="H28" s="8">
        <f>'Сжатое изображение'!H8*'Матрица квантования'!H8</f>
        <v>54</v>
      </c>
      <c r="I28" s="89">
        <f>'Сжатое изображение'!I8*'Матрица квантования'!I8</f>
        <v>0</v>
      </c>
      <c r="J28" s="47">
        <f>'Сжатое изображение'!J8*'Матрица квантования'!J8</f>
        <v>30</v>
      </c>
      <c r="K28" s="45">
        <f>'Сжатое изображение'!K8*'Матрица квантования'!K8</f>
        <v>17</v>
      </c>
      <c r="L28" s="45">
        <f>'Сжатое изображение'!L8*'Матрица квантования'!L8</f>
        <v>-38</v>
      </c>
      <c r="M28" s="45">
        <f>'Сжатое изображение'!M8*'Матрица квантования'!M8</f>
        <v>-21</v>
      </c>
      <c r="N28" s="45">
        <f>'Сжатое изображение'!N8*'Матрица квантования'!N8</f>
        <v>23</v>
      </c>
      <c r="O28" s="45">
        <f>'Сжатое изображение'!O8*'Матрица квантования'!O8</f>
        <v>50</v>
      </c>
      <c r="P28" s="45">
        <f>'Сжатое изображение'!P8*'Матрица квантования'!P8</f>
        <v>0</v>
      </c>
      <c r="Q28" s="46">
        <f>'Сжатое изображение'!Q8*'Матрица квантования'!Q8</f>
        <v>-29</v>
      </c>
      <c r="S28" s="79">
        <v>6</v>
      </c>
      <c r="T28" s="7">
        <v>346.06239683633305</v>
      </c>
      <c r="U28" s="8">
        <v>12.443672415906583</v>
      </c>
      <c r="V28" s="8">
        <v>32.513340880859587</v>
      </c>
      <c r="W28" s="8">
        <v>86.010192200745081</v>
      </c>
      <c r="X28" s="8">
        <v>-122.19219329030371</v>
      </c>
      <c r="Y28" s="8">
        <v>33.445055667757785</v>
      </c>
      <c r="Z28" s="8">
        <v>-105.88344107260755</v>
      </c>
      <c r="AA28" s="9">
        <v>11.214656845862375</v>
      </c>
      <c r="AB28" s="47">
        <v>348.13023094848472</v>
      </c>
      <c r="AC28" s="45">
        <v>-46.756078377874353</v>
      </c>
      <c r="AD28" s="45">
        <v>24.083965011405432</v>
      </c>
      <c r="AE28" s="45">
        <v>2.3025456211099149</v>
      </c>
      <c r="AF28" s="45">
        <v>-110.72955310239084</v>
      </c>
      <c r="AG28" s="45">
        <v>21.861253947645231</v>
      </c>
      <c r="AH28" s="45">
        <v>9.2269166441713448</v>
      </c>
      <c r="AI28" s="46">
        <v>-48.253061882315002</v>
      </c>
      <c r="AK28" s="79">
        <v>6</v>
      </c>
      <c r="AL28" s="7">
        <v>126</v>
      </c>
      <c r="AM28" s="8">
        <v>197</v>
      </c>
      <c r="AN28" s="8">
        <v>79</v>
      </c>
      <c r="AO28" s="8">
        <v>70</v>
      </c>
      <c r="AP28" s="8">
        <v>98</v>
      </c>
      <c r="AQ28" s="8">
        <v>141</v>
      </c>
      <c r="AR28" s="8">
        <v>243</v>
      </c>
      <c r="AS28" s="9">
        <v>21</v>
      </c>
      <c r="AT28" s="47">
        <v>76</v>
      </c>
      <c r="AU28" s="45">
        <v>145</v>
      </c>
      <c r="AV28" s="45">
        <v>129</v>
      </c>
      <c r="AW28" s="45">
        <v>98</v>
      </c>
      <c r="AX28" s="45">
        <v>43</v>
      </c>
      <c r="AY28" s="45">
        <v>193</v>
      </c>
      <c r="AZ28" s="45">
        <v>179</v>
      </c>
      <c r="BA28" s="46">
        <v>117</v>
      </c>
    </row>
    <row r="29" spans="1:53" ht="15" thickBot="1" x14ac:dyDescent="0.35">
      <c r="A29" s="61">
        <v>7</v>
      </c>
      <c r="B29" s="95">
        <f>'Сжатое изображение'!B9*'Матрица квантования'!B9</f>
        <v>-17</v>
      </c>
      <c r="C29" s="96">
        <f>'Сжатое изображение'!C9*'Матрица квантования'!C9</f>
        <v>38</v>
      </c>
      <c r="D29" s="96">
        <f>'Сжатое изображение'!D9*'Матрица квантования'!D9</f>
        <v>-63</v>
      </c>
      <c r="E29" s="96">
        <f>'Сжатое изображение'!E9*'Матрица квантования'!E9</f>
        <v>46</v>
      </c>
      <c r="F29" s="96">
        <f>'Сжатое изображение'!F9*'Матрица квантования'!F9</f>
        <v>0</v>
      </c>
      <c r="G29" s="96">
        <f>'Сжатое изображение'!G9*'Матрица квантования'!G9</f>
        <v>0</v>
      </c>
      <c r="H29" s="96">
        <f>'Сжатое изображение'!H9*'Матрица квантования'!H9</f>
        <v>0</v>
      </c>
      <c r="I29" s="97">
        <f>'Сжатое изображение'!I9*'Матрица квантования'!I9</f>
        <v>0</v>
      </c>
      <c r="J29" s="48">
        <f>'Сжатое изображение'!J9*'Матрица квантования'!J9</f>
        <v>-68</v>
      </c>
      <c r="K29" s="49">
        <f>'Сжатое изображение'!K9*'Матрица квантования'!K9</f>
        <v>-76</v>
      </c>
      <c r="L29" s="49">
        <f>'Сжатое изображение'!L9*'Матрица квантования'!L9</f>
        <v>-21</v>
      </c>
      <c r="M29" s="49">
        <f>'Сжатое изображение'!M9*'Матрица квантования'!M9</f>
        <v>-23</v>
      </c>
      <c r="N29" s="49">
        <f>'Сжатое изображение'!N9*'Матрица квантования'!N9</f>
        <v>-25</v>
      </c>
      <c r="O29" s="49">
        <f>'Сжатое изображение'!O9*'Матрица квантования'!O9</f>
        <v>0</v>
      </c>
      <c r="P29" s="49">
        <f>'Сжатое изображение'!P9*'Матрица квантования'!P9</f>
        <v>0</v>
      </c>
      <c r="Q29" s="51">
        <f>'Сжатое изображение'!Q9*'Матрица квантования'!Q9</f>
        <v>0</v>
      </c>
      <c r="S29" s="80">
        <v>7</v>
      </c>
      <c r="T29" s="13">
        <v>397.94103019354498</v>
      </c>
      <c r="U29" s="14">
        <v>-42.360097037224207</v>
      </c>
      <c r="V29" s="14">
        <v>75.779057386357408</v>
      </c>
      <c r="W29" s="14">
        <v>24.687060977826775</v>
      </c>
      <c r="X29" s="14">
        <v>-8.4993032365715422</v>
      </c>
      <c r="Y29" s="14">
        <v>33.723800706716773</v>
      </c>
      <c r="Z29" s="14">
        <v>-112.01743520751731</v>
      </c>
      <c r="AA29" s="15">
        <v>-20.891260688415986</v>
      </c>
      <c r="AB29" s="48">
        <v>250.33101965832597</v>
      </c>
      <c r="AC29" s="49">
        <v>-127.40344435264075</v>
      </c>
      <c r="AD29" s="49">
        <v>15.674976622071028</v>
      </c>
      <c r="AE29" s="49">
        <v>50.893764565392594</v>
      </c>
      <c r="AF29" s="49">
        <v>-77.255035619015246</v>
      </c>
      <c r="AG29" s="49">
        <v>1.9130308267429896</v>
      </c>
      <c r="AH29" s="49">
        <v>20.190847609322322</v>
      </c>
      <c r="AI29" s="51">
        <v>-24.292943109899895</v>
      </c>
      <c r="AK29" s="80">
        <v>7</v>
      </c>
      <c r="AL29" s="13">
        <v>148</v>
      </c>
      <c r="AM29" s="14">
        <v>179</v>
      </c>
      <c r="AN29" s="14">
        <v>48</v>
      </c>
      <c r="AO29" s="14">
        <v>137</v>
      </c>
      <c r="AP29" s="14">
        <v>110</v>
      </c>
      <c r="AQ29" s="14">
        <v>106</v>
      </c>
      <c r="AR29" s="14">
        <v>240</v>
      </c>
      <c r="AS29" s="15">
        <v>154</v>
      </c>
      <c r="AT29" s="48">
        <v>29</v>
      </c>
      <c r="AU29" s="49">
        <v>57</v>
      </c>
      <c r="AV29" s="49">
        <v>51</v>
      </c>
      <c r="AW29" s="49">
        <v>36</v>
      </c>
      <c r="AX29" s="49">
        <v>63</v>
      </c>
      <c r="AY29" s="49">
        <v>192</v>
      </c>
      <c r="AZ29" s="49">
        <v>161</v>
      </c>
      <c r="BA29" s="51">
        <v>115</v>
      </c>
    </row>
    <row r="30" spans="1:53" x14ac:dyDescent="0.3">
      <c r="A30" s="62">
        <v>8</v>
      </c>
      <c r="B30" s="50">
        <f>'Сжатое изображение'!B10*'Матрица квантования'!B10</f>
        <v>1131</v>
      </c>
      <c r="C30" s="43">
        <f>'Сжатое изображение'!C10*'Матрица квантования'!C10</f>
        <v>25</v>
      </c>
      <c r="D30" s="43">
        <f>'Сжатое изображение'!D10*'Матрица квантования'!D10</f>
        <v>133</v>
      </c>
      <c r="E30" s="43">
        <f>'Сжатое изображение'!E10*'Матрица квантования'!E10</f>
        <v>-99</v>
      </c>
      <c r="F30" s="43">
        <f>'Сжатое изображение'!F10*'Матрица квантования'!F10</f>
        <v>-66</v>
      </c>
      <c r="G30" s="43">
        <f>'Сжатое изображение'!G10*'Матрица квантования'!G10</f>
        <v>65</v>
      </c>
      <c r="H30" s="43">
        <f>'Сжатое изображение'!H10*'Матрица квантования'!H10</f>
        <v>-150</v>
      </c>
      <c r="I30" s="44">
        <f>'Сжатое изображение'!I10*'Матрица квантования'!I10</f>
        <v>-17</v>
      </c>
      <c r="J30" s="92">
        <f>'Сжатое изображение'!J10*'Матрица квантования'!J10</f>
        <v>1116</v>
      </c>
      <c r="K30" s="90">
        <f>'Сжатое изображение'!K10*'Матрица квантования'!K10</f>
        <v>0</v>
      </c>
      <c r="L30" s="90">
        <f>'Сжатое изображение'!L10*'Матрица квантования'!L10</f>
        <v>21</v>
      </c>
      <c r="M30" s="90">
        <f>'Сжатое изображение'!M10*'Матрица квантования'!M10</f>
        <v>27</v>
      </c>
      <c r="N30" s="90">
        <f>'Сжатое изображение'!N10*'Матрица квантования'!N10</f>
        <v>-209</v>
      </c>
      <c r="O30" s="90">
        <f>'Сжатое изображение'!O10*'Матрица квантования'!O10</f>
        <v>39</v>
      </c>
      <c r="P30" s="90">
        <f>'Сжатое изображение'!P10*'Матрица квантования'!P10</f>
        <v>120</v>
      </c>
      <c r="Q30" s="91">
        <f>'Сжатое изображение'!Q10*'Матрица квантования'!Q10</f>
        <v>-17</v>
      </c>
      <c r="S30" s="62">
        <v>8</v>
      </c>
      <c r="T30" s="50">
        <f t="array" ref="T30:AA37">MMULT('DCT матрица'!B28:I35,'Итоговое сжатие'!B30:I37)</f>
        <v>425.97593599955536</v>
      </c>
      <c r="U30" s="43">
        <v>-86.449549779995138</v>
      </c>
      <c r="V30" s="43">
        <v>136.12025098971139</v>
      </c>
      <c r="W30" s="43">
        <v>-42.53073971542139</v>
      </c>
      <c r="X30" s="43">
        <v>-2.9472855605666055</v>
      </c>
      <c r="Y30" s="43">
        <v>17.816012008121994</v>
      </c>
      <c r="Z30" s="43">
        <v>-83.367781846303814</v>
      </c>
      <c r="AA30" s="44">
        <v>-34.346063059115536</v>
      </c>
      <c r="AB30" s="1">
        <f t="array" ref="AB30:AI37">MMULT('DCT матрица'!J28:Q35,'Итоговое сжатие'!J30:Q37)</f>
        <v>483.35618987853576</v>
      </c>
      <c r="AC30" s="2">
        <v>102.56339739695838</v>
      </c>
      <c r="AD30" s="2">
        <v>28.128352686314265</v>
      </c>
      <c r="AE30" s="2">
        <v>-18.890634517869309</v>
      </c>
      <c r="AF30" s="2">
        <v>-65.289210331220147</v>
      </c>
      <c r="AG30" s="2">
        <v>66.34271390038522</v>
      </c>
      <c r="AH30" s="2">
        <v>58.40820443315534</v>
      </c>
      <c r="AI30" s="3">
        <v>-43.802357772835478</v>
      </c>
      <c r="AK30" s="62">
        <v>8</v>
      </c>
      <c r="AL30" s="50">
        <f t="array" ref="AL30:AS37">ROUNDDOWN(MMULT(T30:AA37,'DCT матрица'!B10:I17),0)</f>
        <v>138</v>
      </c>
      <c r="AM30" s="43">
        <v>185</v>
      </c>
      <c r="AN30" s="43">
        <v>71</v>
      </c>
      <c r="AO30" s="43">
        <v>130</v>
      </c>
      <c r="AP30" s="43">
        <v>75</v>
      </c>
      <c r="AQ30" s="43">
        <v>102</v>
      </c>
      <c r="AR30" s="43">
        <v>247</v>
      </c>
      <c r="AS30" s="44">
        <v>254</v>
      </c>
      <c r="AT30" s="1">
        <f t="array" ref="AT30:BA37">ROUNDDOWN(MMULT(AB30:AI37,'DCT матрица'!J10:Q17),0)</f>
        <v>228</v>
      </c>
      <c r="AU30" s="2">
        <v>196</v>
      </c>
      <c r="AV30" s="2">
        <v>241</v>
      </c>
      <c r="AW30" s="2">
        <v>187</v>
      </c>
      <c r="AX30" s="2">
        <v>59</v>
      </c>
      <c r="AY30" s="2">
        <v>189</v>
      </c>
      <c r="AZ30" s="2">
        <v>148</v>
      </c>
      <c r="BA30" s="3">
        <v>115</v>
      </c>
    </row>
    <row r="31" spans="1:53" x14ac:dyDescent="0.3">
      <c r="A31" s="63">
        <v>9</v>
      </c>
      <c r="B31" s="47">
        <f>'Сжатое изображение'!B11*'Матрица квантования'!B11</f>
        <v>-10</v>
      </c>
      <c r="C31" s="45">
        <f>'Сжатое изображение'!C11*'Матрица квантования'!C11</f>
        <v>-161</v>
      </c>
      <c r="D31" s="45">
        <f>'Сжатое изображение'!D11*'Матрица квантования'!D11</f>
        <v>207</v>
      </c>
      <c r="E31" s="45">
        <f>'Сжатое изображение'!E11*'Матрица квантования'!E11</f>
        <v>11</v>
      </c>
      <c r="F31" s="45">
        <f>'Сжатое изображение'!F11*'Матрица квантования'!F11</f>
        <v>26</v>
      </c>
      <c r="G31" s="45">
        <f>'Сжатое изображение'!G11*'Матрица квантования'!G11</f>
        <v>-30</v>
      </c>
      <c r="H31" s="45">
        <f>'Сжатое изображение'!H11*'Матрица квантования'!H11</f>
        <v>-68</v>
      </c>
      <c r="I31" s="46">
        <f>'Сжатое изображение'!I11*'Матрица квантования'!I11</f>
        <v>-38</v>
      </c>
      <c r="J31" s="93">
        <f>'Сжатое изображение'!J11*'Матрица квантования'!J11</f>
        <v>150</v>
      </c>
      <c r="K31" s="8">
        <f>'Сжатое изображение'!K11*'Матрица квантования'!K11</f>
        <v>196</v>
      </c>
      <c r="L31" s="8">
        <f>'Сжатое изображение'!L11*'Матрица квантования'!L11</f>
        <v>99</v>
      </c>
      <c r="M31" s="8">
        <f>'Сжатое изображение'!M11*'Матрица квантования'!M11</f>
        <v>-55</v>
      </c>
      <c r="N31" s="8">
        <f>'Сжатое изображение'!N11*'Матрица квантования'!N11</f>
        <v>-65</v>
      </c>
      <c r="O31" s="8">
        <f>'Сжатое изображение'!O11*'Матрица квантования'!O11</f>
        <v>60</v>
      </c>
      <c r="P31" s="8">
        <f>'Сжатое изображение'!P11*'Матрица квантования'!P11</f>
        <v>34</v>
      </c>
      <c r="Q31" s="9">
        <f>'Сжатое изображение'!Q11*'Матрица квантования'!Q11</f>
        <v>-57</v>
      </c>
      <c r="S31" s="63">
        <v>9</v>
      </c>
      <c r="T31" s="47">
        <v>413.58248519044054</v>
      </c>
      <c r="U31" s="45">
        <v>-63.985053148425962</v>
      </c>
      <c r="V31" s="45">
        <v>126.63324798132012</v>
      </c>
      <c r="W31" s="45">
        <v>-36.596808420757561</v>
      </c>
      <c r="X31" s="45">
        <v>33.223661059431954</v>
      </c>
      <c r="Y31" s="45">
        <v>2.7627391075858814</v>
      </c>
      <c r="Z31" s="45">
        <v>-71.27838871338281</v>
      </c>
      <c r="AA31" s="46">
        <v>-25.826506313667458</v>
      </c>
      <c r="AB31" s="7">
        <v>497.01307038958583</v>
      </c>
      <c r="AC31" s="8">
        <v>135.28592506720892</v>
      </c>
      <c r="AD31" s="8">
        <v>74.775975457833297</v>
      </c>
      <c r="AE31" s="8">
        <v>-19.933577839791674</v>
      </c>
      <c r="AF31" s="8">
        <v>-96.863037764369977</v>
      </c>
      <c r="AG31" s="8">
        <v>37.813667749961809</v>
      </c>
      <c r="AH31" s="8">
        <v>39.110228700584763</v>
      </c>
      <c r="AI31" s="9">
        <v>-39.98718237356055</v>
      </c>
      <c r="AK31" s="87">
        <v>9</v>
      </c>
      <c r="AL31" s="47">
        <v>154</v>
      </c>
      <c r="AM31" s="45">
        <v>174</v>
      </c>
      <c r="AN31" s="45">
        <v>67</v>
      </c>
      <c r="AO31" s="45">
        <v>130</v>
      </c>
      <c r="AP31" s="45">
        <v>95</v>
      </c>
      <c r="AQ31" s="45">
        <v>87</v>
      </c>
      <c r="AR31" s="45">
        <v>208</v>
      </c>
      <c r="AS31" s="46">
        <v>251</v>
      </c>
      <c r="AT31" s="7">
        <v>248</v>
      </c>
      <c r="AU31" s="8">
        <v>256</v>
      </c>
      <c r="AV31" s="8">
        <v>248</v>
      </c>
      <c r="AW31" s="8">
        <v>153</v>
      </c>
      <c r="AX31" s="8">
        <v>45</v>
      </c>
      <c r="AY31" s="8">
        <v>179</v>
      </c>
      <c r="AZ31" s="8">
        <v>155</v>
      </c>
      <c r="BA31" s="9">
        <v>118</v>
      </c>
    </row>
    <row r="32" spans="1:53" x14ac:dyDescent="0.3">
      <c r="A32" s="63">
        <v>10</v>
      </c>
      <c r="B32" s="47">
        <f>'Сжатое изображение'!B12*'Матрица квантования'!B12</f>
        <v>77</v>
      </c>
      <c r="C32" s="45">
        <f>'Сжатое изображение'!C12*'Матрица квантования'!C12</f>
        <v>-63</v>
      </c>
      <c r="D32" s="45">
        <f>'Сжатое изображение'!D12*'Матрица квантования'!D12</f>
        <v>-22</v>
      </c>
      <c r="E32" s="45">
        <f>'Сжатое изображение'!E12*'Матрица квантования'!E12</f>
        <v>0</v>
      </c>
      <c r="F32" s="45">
        <f>'Сжатое изображение'!F12*'Матрица квантования'!F12</f>
        <v>90</v>
      </c>
      <c r="G32" s="45">
        <f>'Сжатое изображение'!G12*'Матрица квантования'!G12</f>
        <v>-51</v>
      </c>
      <c r="H32" s="45">
        <f>'Сжатое изображение'!H12*'Матрица квантования'!H12</f>
        <v>19</v>
      </c>
      <c r="I32" s="46">
        <f>'Сжатое изображение'!I12*'Матрица квантования'!I12</f>
        <v>-21</v>
      </c>
      <c r="J32" s="93">
        <f>'Сжатое изображение'!J12*'Матрица квантования'!J12</f>
        <v>126</v>
      </c>
      <c r="K32" s="8">
        <f>'Сжатое изображение'!K12*'Матрица квантования'!K12</f>
        <v>135</v>
      </c>
      <c r="L32" s="8">
        <f>'Сжатое изображение'!L12*'Матрица квантования'!L12</f>
        <v>22</v>
      </c>
      <c r="M32" s="8">
        <f>'Сжатое изображение'!M12*'Матрица квантования'!M12</f>
        <v>0</v>
      </c>
      <c r="N32" s="8">
        <f>'Сжатое изображение'!N12*'Матрица квантования'!N12</f>
        <v>75</v>
      </c>
      <c r="O32" s="8">
        <f>'Сжатое изображение'!O12*'Матрица квантования'!O12</f>
        <v>34</v>
      </c>
      <c r="P32" s="8">
        <f>'Сжатое изображение'!P12*'Матрица квантования'!P12</f>
        <v>-38</v>
      </c>
      <c r="Q32" s="9">
        <f>'Сжатое изображение'!Q12*'Матрица квантования'!Q12</f>
        <v>-42</v>
      </c>
      <c r="S32" s="63">
        <v>10</v>
      </c>
      <c r="T32" s="47">
        <v>384.17447878589633</v>
      </c>
      <c r="U32" s="45">
        <v>-37.760995311841086</v>
      </c>
      <c r="V32" s="45">
        <v>102.14681382071728</v>
      </c>
      <c r="W32" s="45">
        <v>-14.543406255200688</v>
      </c>
      <c r="X32" s="45">
        <v>1.8738673621860045</v>
      </c>
      <c r="Y32" s="45">
        <v>-24.424995103760377</v>
      </c>
      <c r="Z32" s="45">
        <v>-85.863745347439647</v>
      </c>
      <c r="AA32" s="46">
        <v>-12.548066027624657</v>
      </c>
      <c r="AB32" s="7">
        <v>466.8173994771621</v>
      </c>
      <c r="AC32" s="8">
        <v>91.61305900115795</v>
      </c>
      <c r="AD32" s="8">
        <v>78.015914980408695</v>
      </c>
      <c r="AE32" s="8">
        <v>9.9952915364570778</v>
      </c>
      <c r="AF32" s="8">
        <v>-104.25087153965281</v>
      </c>
      <c r="AG32" s="8">
        <v>16.525449671060464</v>
      </c>
      <c r="AH32" s="8">
        <v>40.712112619583564</v>
      </c>
      <c r="AI32" s="9">
        <v>-25.086837926114583</v>
      </c>
      <c r="AK32" s="63">
        <v>10</v>
      </c>
      <c r="AL32" s="47">
        <v>134</v>
      </c>
      <c r="AM32" s="45">
        <v>195</v>
      </c>
      <c r="AN32" s="45">
        <v>64</v>
      </c>
      <c r="AO32" s="45">
        <v>102</v>
      </c>
      <c r="AP32" s="45">
        <v>109</v>
      </c>
      <c r="AQ32" s="45">
        <v>86</v>
      </c>
      <c r="AR32" s="45">
        <v>193</v>
      </c>
      <c r="AS32" s="46">
        <v>199</v>
      </c>
      <c r="AT32" s="7">
        <v>223</v>
      </c>
      <c r="AU32" s="8">
        <v>234</v>
      </c>
      <c r="AV32" s="8">
        <v>217</v>
      </c>
      <c r="AW32" s="8">
        <v>109</v>
      </c>
      <c r="AX32" s="8">
        <v>59</v>
      </c>
      <c r="AY32" s="8">
        <v>194</v>
      </c>
      <c r="AZ32" s="8">
        <v>162</v>
      </c>
      <c r="BA32" s="9">
        <v>120</v>
      </c>
    </row>
    <row r="33" spans="1:53" x14ac:dyDescent="0.3">
      <c r="A33" s="63">
        <v>11</v>
      </c>
      <c r="B33" s="47">
        <f>'Сжатое изображение'!B13*'Матрица квантования'!B13</f>
        <v>-27</v>
      </c>
      <c r="C33" s="45">
        <f>'Сжатое изображение'!C13*'Матрица квантования'!C13</f>
        <v>77</v>
      </c>
      <c r="D33" s="45">
        <f>'Сжатое изображение'!D13*'Матрица квантования'!D13</f>
        <v>-26</v>
      </c>
      <c r="E33" s="45">
        <f>'Сжатое изображение'!E13*'Матрица квантования'!E13</f>
        <v>-60</v>
      </c>
      <c r="F33" s="45">
        <f>'Сжатое изображение'!F13*'Матрица квантования'!F13</f>
        <v>-17</v>
      </c>
      <c r="G33" s="45">
        <f>'Сжатое изображение'!G13*'Матрица квантования'!G13</f>
        <v>95</v>
      </c>
      <c r="H33" s="45">
        <f>'Сжатое изображение'!H13*'Матрица квантования'!H13</f>
        <v>-21</v>
      </c>
      <c r="I33" s="46">
        <f>'Сжатое изображение'!I13*'Матрица квантования'!I13</f>
        <v>0</v>
      </c>
      <c r="J33" s="93">
        <f>'Сжатое изображение'!J13*'Матрица квантования'!J13</f>
        <v>-90</v>
      </c>
      <c r="K33" s="8">
        <f>'Сжатое изображение'!K13*'Матрица квантования'!K13</f>
        <v>-99</v>
      </c>
      <c r="L33" s="8">
        <f>'Сжатое изображение'!L13*'Матрица квантования'!L13</f>
        <v>-39</v>
      </c>
      <c r="M33" s="8">
        <f>'Сжатое изображение'!M13*'Матрица квантования'!M13</f>
        <v>0</v>
      </c>
      <c r="N33" s="8">
        <f>'Сжатое изображение'!N13*'Матрица квантования'!N13</f>
        <v>0</v>
      </c>
      <c r="O33" s="8">
        <f>'Сжатое изображение'!O13*'Матрица квантования'!O13</f>
        <v>0</v>
      </c>
      <c r="P33" s="8">
        <f>'Сжатое изображение'!P13*'Матрица квантования'!P13</f>
        <v>21</v>
      </c>
      <c r="Q33" s="9">
        <f>'Сжатое изображение'!Q13*'Матрица квантования'!Q13</f>
        <v>23</v>
      </c>
      <c r="S33" s="63">
        <v>11</v>
      </c>
      <c r="T33" s="47">
        <v>347.71654848616777</v>
      </c>
      <c r="U33" s="45">
        <v>0.29453442422100906</v>
      </c>
      <c r="V33" s="45">
        <v>105.50438432648581</v>
      </c>
      <c r="W33" s="45">
        <v>-5.2408666268860244</v>
      </c>
      <c r="X33" s="45">
        <v>-84.520639260376484</v>
      </c>
      <c r="Y33" s="45">
        <v>7.662057027448304</v>
      </c>
      <c r="Z33" s="45">
        <v>-49.311493329116814</v>
      </c>
      <c r="AA33" s="46">
        <v>-1.6388667023580439E-2</v>
      </c>
      <c r="AB33" s="7">
        <v>344.24955565945288</v>
      </c>
      <c r="AC33" s="8">
        <v>-51.788191149456416</v>
      </c>
      <c r="AD33" s="8">
        <v>-1.6964757614087</v>
      </c>
      <c r="AE33" s="8">
        <v>7.9580650441519198</v>
      </c>
      <c r="AF33" s="8">
        <v>-106.14814563951492</v>
      </c>
      <c r="AG33" s="8">
        <v>11.359961043388401</v>
      </c>
      <c r="AH33" s="8">
        <v>65.594894000120945</v>
      </c>
      <c r="AI33" s="9">
        <v>1.4419306854662857</v>
      </c>
      <c r="AK33" s="63">
        <v>11</v>
      </c>
      <c r="AL33" s="47">
        <v>132</v>
      </c>
      <c r="AM33" s="45">
        <v>192</v>
      </c>
      <c r="AN33" s="45">
        <v>113</v>
      </c>
      <c r="AO33" s="45">
        <v>58</v>
      </c>
      <c r="AP33" s="45">
        <v>49</v>
      </c>
      <c r="AQ33" s="45">
        <v>106</v>
      </c>
      <c r="AR33" s="45">
        <v>198</v>
      </c>
      <c r="AS33" s="46">
        <v>132</v>
      </c>
      <c r="AT33" s="7">
        <v>77</v>
      </c>
      <c r="AU33" s="8">
        <v>100</v>
      </c>
      <c r="AV33" s="8">
        <v>173</v>
      </c>
      <c r="AW33" s="8">
        <v>69</v>
      </c>
      <c r="AX33" s="8">
        <v>75</v>
      </c>
      <c r="AY33" s="8">
        <v>206</v>
      </c>
      <c r="AZ33" s="8">
        <v>156</v>
      </c>
      <c r="BA33" s="9">
        <v>114</v>
      </c>
    </row>
    <row r="34" spans="1:53" x14ac:dyDescent="0.3">
      <c r="A34" s="63">
        <v>12</v>
      </c>
      <c r="B34" s="47">
        <f>'Сжатое изображение'!B14*'Матрица квантования'!B14</f>
        <v>66</v>
      </c>
      <c r="C34" s="45">
        <f>'Сжатое изображение'!C14*'Матрица квантования'!C14</f>
        <v>-91</v>
      </c>
      <c r="D34" s="45">
        <f>'Сжатое изображение'!D14*'Матрица квантования'!D14</f>
        <v>30</v>
      </c>
      <c r="E34" s="45">
        <f>'Сжатое изображение'!E14*'Матрица квантования'!E14</f>
        <v>34</v>
      </c>
      <c r="F34" s="45">
        <f>'Сжатое изображение'!F14*'Матрица квантования'!F14</f>
        <v>-76</v>
      </c>
      <c r="G34" s="45">
        <f>'Сжатое изображение'!G14*'Матрица квантования'!G14</f>
        <v>0</v>
      </c>
      <c r="H34" s="45">
        <f>'Сжатое изображение'!H14*'Матрица квантования'!H14</f>
        <v>23</v>
      </c>
      <c r="I34" s="46">
        <f>'Сжатое изображение'!I14*'Матрица квантования'!I14</f>
        <v>0</v>
      </c>
      <c r="J34" s="93">
        <f>'Сжатое изображение'!J14*'Матрица квантования'!J14</f>
        <v>11</v>
      </c>
      <c r="K34" s="8">
        <f>'Сжатое изображение'!K14*'Матрица квантования'!K14</f>
        <v>-13</v>
      </c>
      <c r="L34" s="8">
        <f>'Сжатое изображение'!L14*'Матрица квантования'!L14</f>
        <v>-75</v>
      </c>
      <c r="M34" s="8">
        <f>'Сжатое изображение'!M14*'Матрица квантования'!M14</f>
        <v>-34</v>
      </c>
      <c r="N34" s="8">
        <f>'Сжатое изображение'!N14*'Матрица квантования'!N14</f>
        <v>0</v>
      </c>
      <c r="O34" s="8">
        <f>'Сжатое изображение'!O14*'Матрица квантования'!O14</f>
        <v>21</v>
      </c>
      <c r="P34" s="8">
        <f>'Сжатое изображение'!P14*'Матрица квантования'!P14</f>
        <v>23</v>
      </c>
      <c r="Q34" s="9">
        <f>'Сжатое изображение'!Q14*'Матрица квантования'!Q14</f>
        <v>0</v>
      </c>
      <c r="S34" s="63">
        <v>12</v>
      </c>
      <c r="T34" s="47">
        <v>410.33079013433144</v>
      </c>
      <c r="U34" s="45">
        <v>30.757683616297502</v>
      </c>
      <c r="V34" s="45">
        <v>30.079370722169763</v>
      </c>
      <c r="W34" s="45">
        <v>-40.721074150239552</v>
      </c>
      <c r="X34" s="45">
        <v>-99.037681594129069</v>
      </c>
      <c r="Y34" s="45">
        <v>85.417739907752889</v>
      </c>
      <c r="Z34" s="45">
        <v>-47.712326325431718</v>
      </c>
      <c r="AA34" s="46">
        <v>7.3970435695892949</v>
      </c>
      <c r="AB34" s="7">
        <v>319.0302111849349</v>
      </c>
      <c r="AC34" s="8">
        <v>-95.13917059540546</v>
      </c>
      <c r="AD34" s="8">
        <v>-56.812640137913164</v>
      </c>
      <c r="AE34" s="8">
        <v>-12.907812512457751</v>
      </c>
      <c r="AF34" s="8">
        <v>-110.92813656682003</v>
      </c>
      <c r="AG34" s="8">
        <v>-0.34545827757929537</v>
      </c>
      <c r="AH34" s="8">
        <v>70.628797944984228</v>
      </c>
      <c r="AI34" s="9">
        <v>25.340194399836445</v>
      </c>
      <c r="AK34" s="63">
        <v>12</v>
      </c>
      <c r="AL34" s="47">
        <v>137</v>
      </c>
      <c r="AM34" s="45">
        <v>180</v>
      </c>
      <c r="AN34" s="45">
        <v>192</v>
      </c>
      <c r="AO34" s="45">
        <v>151</v>
      </c>
      <c r="AP34" s="45">
        <v>59</v>
      </c>
      <c r="AQ34" s="45">
        <v>112</v>
      </c>
      <c r="AR34" s="45">
        <v>235</v>
      </c>
      <c r="AS34" s="46">
        <v>92</v>
      </c>
      <c r="AT34" s="7">
        <v>11</v>
      </c>
      <c r="AU34" s="8">
        <v>63</v>
      </c>
      <c r="AV34" s="8">
        <v>185</v>
      </c>
      <c r="AW34" s="8">
        <v>68</v>
      </c>
      <c r="AX34" s="8">
        <v>104</v>
      </c>
      <c r="AY34" s="8">
        <v>205</v>
      </c>
      <c r="AZ34" s="8">
        <v>153</v>
      </c>
      <c r="BA34" s="9">
        <v>110</v>
      </c>
    </row>
    <row r="35" spans="1:53" x14ac:dyDescent="0.3">
      <c r="A35" s="63">
        <v>13</v>
      </c>
      <c r="B35" s="47">
        <f>'Сжатое изображение'!B15*'Матрица квантования'!B15</f>
        <v>-91</v>
      </c>
      <c r="C35" s="45">
        <f>'Сжатое изображение'!C15*'Матрица квантования'!C15</f>
        <v>75</v>
      </c>
      <c r="D35" s="45">
        <f>'Сжатое изображение'!D15*'Матрица квантования'!D15</f>
        <v>0</v>
      </c>
      <c r="E35" s="45">
        <f>'Сжатое изображение'!E15*'Матрица квантования'!E15</f>
        <v>0</v>
      </c>
      <c r="F35" s="45">
        <f>'Сжатое изображение'!F15*'Матрица квантования'!F15</f>
        <v>0</v>
      </c>
      <c r="G35" s="45">
        <f>'Сжатое изображение'!G15*'Матрица квантования'!G15</f>
        <v>-23</v>
      </c>
      <c r="H35" s="45">
        <f>'Сжатое изображение'!H15*'Матрица квантования'!H15</f>
        <v>0</v>
      </c>
      <c r="I35" s="46">
        <f>'Сжатое изображение'!I15*'Матрица квантования'!I15</f>
        <v>0</v>
      </c>
      <c r="J35" s="93">
        <f>'Сжатое изображение'!J15*'Матрица квантования'!J15</f>
        <v>-65</v>
      </c>
      <c r="K35" s="8">
        <f>'Сжатое изображение'!K15*'Матрица квантования'!K15</f>
        <v>-60</v>
      </c>
      <c r="L35" s="8">
        <f>'Сжатое изображение'!L15*'Матрица квантования'!L15</f>
        <v>17</v>
      </c>
      <c r="M35" s="8">
        <f>'Сжатое изображение'!M15*'Матрица квантования'!M15</f>
        <v>38</v>
      </c>
      <c r="N35" s="8">
        <f>'Сжатое изображение'!N15*'Матрица квантования'!N15</f>
        <v>21</v>
      </c>
      <c r="O35" s="8">
        <f>'Сжатое изображение'!O15*'Матрица квантования'!O15</f>
        <v>0</v>
      </c>
      <c r="P35" s="8">
        <f>'Сжатое изображение'!P15*'Матрица квантования'!P15</f>
        <v>0</v>
      </c>
      <c r="Q35" s="9">
        <f>'Сжатое изображение'!Q15*'Матрица квантования'!Q15</f>
        <v>0</v>
      </c>
      <c r="S35" s="63">
        <v>13</v>
      </c>
      <c r="T35" s="47">
        <v>381.00219784867272</v>
      </c>
      <c r="U35" s="45">
        <v>96.776582010405605</v>
      </c>
      <c r="V35" s="45">
        <v>-20.895779846470877</v>
      </c>
      <c r="W35" s="45">
        <v>-79.501795642610119</v>
      </c>
      <c r="X35" s="45">
        <v>-29.244308463178648</v>
      </c>
      <c r="Y35" s="45">
        <v>89.903790931505554</v>
      </c>
      <c r="Z35" s="45">
        <v>-68.681460390574529</v>
      </c>
      <c r="AA35" s="46">
        <v>8.5636028271202314</v>
      </c>
      <c r="AB35" s="7">
        <v>307.89206021897934</v>
      </c>
      <c r="AC35" s="8">
        <v>-102.67103010963623</v>
      </c>
      <c r="AD35" s="8">
        <v>-18.552699498532117</v>
      </c>
      <c r="AE35" s="8">
        <v>33.138222115922304</v>
      </c>
      <c r="AF35" s="8">
        <v>-72.235703155717403</v>
      </c>
      <c r="AG35" s="8">
        <v>-16.808764310115659</v>
      </c>
      <c r="AH35" s="8">
        <v>42.419215585384961</v>
      </c>
      <c r="AI35" s="9">
        <v>29.138726805277049</v>
      </c>
      <c r="AK35" s="63">
        <v>13</v>
      </c>
      <c r="AL35" s="47">
        <v>141</v>
      </c>
      <c r="AM35" s="45">
        <v>174</v>
      </c>
      <c r="AN35" s="45">
        <v>195</v>
      </c>
      <c r="AO35" s="45">
        <v>211</v>
      </c>
      <c r="AP35" s="45">
        <v>82</v>
      </c>
      <c r="AQ35" s="45">
        <v>39</v>
      </c>
      <c r="AR35" s="45">
        <v>171</v>
      </c>
      <c r="AS35" s="46">
        <v>61</v>
      </c>
      <c r="AT35" s="7">
        <v>44</v>
      </c>
      <c r="AU35" s="8">
        <v>65</v>
      </c>
      <c r="AV35" s="8">
        <v>123</v>
      </c>
      <c r="AW35" s="8">
        <v>43</v>
      </c>
      <c r="AX35" s="8">
        <v>124</v>
      </c>
      <c r="AY35" s="8">
        <v>191</v>
      </c>
      <c r="AZ35" s="8">
        <v>157</v>
      </c>
      <c r="BA35" s="9">
        <v>121</v>
      </c>
    </row>
    <row r="36" spans="1:53" x14ac:dyDescent="0.3">
      <c r="A36" s="63">
        <v>14</v>
      </c>
      <c r="B36" s="47">
        <f>'Сжатое изображение'!B16*'Матрица квантования'!B16</f>
        <v>45</v>
      </c>
      <c r="C36" s="45">
        <f>'Сжатое изображение'!C16*'Матрица квантования'!C16</f>
        <v>-51</v>
      </c>
      <c r="D36" s="45">
        <f>'Сжатое изображение'!D16*'Матрица квантования'!D16</f>
        <v>0</v>
      </c>
      <c r="E36" s="45">
        <f>'Сжатое изображение'!E16*'Матрица квантования'!E16</f>
        <v>0</v>
      </c>
      <c r="F36" s="45">
        <f>'Сжатое изображение'!F16*'Матрица квантования'!F16</f>
        <v>0</v>
      </c>
      <c r="G36" s="45">
        <f>'Сжатое изображение'!G16*'Матрица квантования'!G16</f>
        <v>0</v>
      </c>
      <c r="H36" s="45">
        <f>'Сжатое изображение'!H16*'Матрица квантования'!H16</f>
        <v>-27</v>
      </c>
      <c r="I36" s="46">
        <f>'Сжатое изображение'!I16*'Матрица квантования'!I16</f>
        <v>0</v>
      </c>
      <c r="J36" s="93">
        <f>'Сжатое изображение'!J16*'Матрица квантования'!J16</f>
        <v>45</v>
      </c>
      <c r="K36" s="8">
        <f>'Сжатое изображение'!K16*'Матрица квантования'!K16</f>
        <v>34</v>
      </c>
      <c r="L36" s="8">
        <f>'Сжатое изображение'!L16*'Матрица квантования'!L16</f>
        <v>0</v>
      </c>
      <c r="M36" s="8">
        <f>'Сжатое изображение'!M16*'Матрица квантования'!M16</f>
        <v>0</v>
      </c>
      <c r="N36" s="8">
        <f>'Сжатое изображение'!N16*'Матрица квантования'!N16</f>
        <v>0</v>
      </c>
      <c r="O36" s="8">
        <f>'Сжатое изображение'!O16*'Матрица квантования'!O16</f>
        <v>0</v>
      </c>
      <c r="P36" s="8">
        <f>'Сжатое изображение'!P16*'Матрица квантования'!P16</f>
        <v>0</v>
      </c>
      <c r="Q36" s="9">
        <f>'Сжатое изображение'!Q16*'Матрица квантования'!Q16</f>
        <v>0</v>
      </c>
      <c r="S36" s="63">
        <v>14</v>
      </c>
      <c r="T36" s="47">
        <v>327.37828210233658</v>
      </c>
      <c r="U36" s="45">
        <v>169.01823968514043</v>
      </c>
      <c r="V36" s="45">
        <v>-62.220285031137728</v>
      </c>
      <c r="W36" s="45">
        <v>-57.448393477053258</v>
      </c>
      <c r="X36" s="45">
        <v>8.2889156652915936</v>
      </c>
      <c r="Y36" s="45">
        <v>23.682346618920143</v>
      </c>
      <c r="Z36" s="45">
        <v>-18.835351839148437</v>
      </c>
      <c r="AA36" s="46">
        <v>5.7693389538292621</v>
      </c>
      <c r="AB36" s="7">
        <v>290.98345633654259</v>
      </c>
      <c r="AC36" s="8">
        <v>-105.84317764788048</v>
      </c>
      <c r="AD36" s="8">
        <v>1.525311048107211</v>
      </c>
      <c r="AE36" s="8">
        <v>63.06709149217108</v>
      </c>
      <c r="AF36" s="8">
        <v>-22.221022076236693</v>
      </c>
      <c r="AG36" s="8">
        <v>-12.0745089881909</v>
      </c>
      <c r="AH36" s="8">
        <v>14.937158644636924</v>
      </c>
      <c r="AI36" s="9">
        <v>11.893662934055479</v>
      </c>
      <c r="AK36" s="63">
        <v>14</v>
      </c>
      <c r="AL36" s="47">
        <v>152</v>
      </c>
      <c r="AM36" s="45">
        <v>172</v>
      </c>
      <c r="AN36" s="45">
        <v>195</v>
      </c>
      <c r="AO36" s="45">
        <v>190</v>
      </c>
      <c r="AP36" s="45">
        <v>111</v>
      </c>
      <c r="AQ36" s="45">
        <v>36</v>
      </c>
      <c r="AR36" s="45">
        <v>46</v>
      </c>
      <c r="AS36" s="46">
        <v>20</v>
      </c>
      <c r="AT36" s="7">
        <v>70</v>
      </c>
      <c r="AU36" s="8">
        <v>56</v>
      </c>
      <c r="AV36" s="8">
        <v>60</v>
      </c>
      <c r="AW36" s="8">
        <v>52</v>
      </c>
      <c r="AX36" s="8">
        <v>130</v>
      </c>
      <c r="AY36" s="8">
        <v>173</v>
      </c>
      <c r="AZ36" s="8">
        <v>151</v>
      </c>
      <c r="BA36" s="9">
        <v>126</v>
      </c>
    </row>
    <row r="37" spans="1:53" ht="15" thickBot="1" x14ac:dyDescent="0.35">
      <c r="A37" s="64">
        <v>15</v>
      </c>
      <c r="B37" s="48">
        <f>'Сжатое изображение'!B17*'Матрица квантования'!B17</f>
        <v>0</v>
      </c>
      <c r="C37" s="49">
        <f>'Сжатое изображение'!C17*'Матрица квантования'!C17</f>
        <v>19</v>
      </c>
      <c r="D37" s="49">
        <f>'Сжатое изображение'!D17*'Матрица квантования'!D17</f>
        <v>-21</v>
      </c>
      <c r="E37" s="49">
        <f>'Сжатое изображение'!E17*'Матрица квантования'!E17</f>
        <v>0</v>
      </c>
      <c r="F37" s="49">
        <f>'Сжатое изображение'!F17*'Матрица квантования'!F17</f>
        <v>0</v>
      </c>
      <c r="G37" s="49">
        <f>'Сжатое изображение'!G17*'Матрица квантования'!G17</f>
        <v>0</v>
      </c>
      <c r="H37" s="49">
        <f>'Сжатое изображение'!H17*'Матрица квантования'!H17</f>
        <v>0</v>
      </c>
      <c r="I37" s="51">
        <f>'Сжатое изображение'!I17*'Матрица квантования'!I17</f>
        <v>0</v>
      </c>
      <c r="J37" s="94">
        <f>'Сжатое изображение'!J17*'Матрица квантования'!J17</f>
        <v>0</v>
      </c>
      <c r="K37" s="14">
        <f>'Сжатое изображение'!K17*'Матрица квантования'!K17</f>
        <v>0</v>
      </c>
      <c r="L37" s="14">
        <f>'Сжатое изображение'!L17*'Матрица квантования'!L17</f>
        <v>0</v>
      </c>
      <c r="M37" s="14">
        <f>'Сжатое изображение'!M17*'Матрица квантования'!M17</f>
        <v>0</v>
      </c>
      <c r="N37" s="14">
        <f>'Сжатое изображение'!N17*'Матрица квантования'!N17</f>
        <v>0</v>
      </c>
      <c r="O37" s="14">
        <f>'Сжатое изображение'!O17*'Матрица квантования'!O17</f>
        <v>0</v>
      </c>
      <c r="P37" s="14">
        <f>'Сжатое изображение'!P17*'Матрица квантования'!P17</f>
        <v>0</v>
      </c>
      <c r="Q37" s="15">
        <f>'Сжатое изображение'!Q17*'Матрица квантования'!Q17</f>
        <v>0</v>
      </c>
      <c r="S37" s="64">
        <v>15</v>
      </c>
      <c r="T37" s="48">
        <v>508.79035954054007</v>
      </c>
      <c r="U37" s="49">
        <v>-37.940763377147547</v>
      </c>
      <c r="V37" s="49">
        <v>-41.187195371552455</v>
      </c>
      <c r="W37" s="49">
        <v>-3.4312010617042219</v>
      </c>
      <c r="X37" s="49">
        <v>-14.312719441907305</v>
      </c>
      <c r="Y37" s="49">
        <v>-18.971927389072029</v>
      </c>
      <c r="Z37" s="49">
        <v>0.7864790794693004</v>
      </c>
      <c r="AA37" s="51">
        <v>2.9237775962072146</v>
      </c>
      <c r="AB37" s="13">
        <v>447.18272807155432</v>
      </c>
      <c r="AC37" s="14">
        <v>25.979188037053252</v>
      </c>
      <c r="AD37" s="14">
        <v>-45.986769155139484</v>
      </c>
      <c r="AE37" s="14">
        <v>13.940887049563504</v>
      </c>
      <c r="AF37" s="14">
        <v>-13.205141998421794</v>
      </c>
      <c r="AG37" s="14">
        <v>7.4955970761913724</v>
      </c>
      <c r="AH37" s="14">
        <v>7.6006430410920469</v>
      </c>
      <c r="AI37" s="15">
        <v>-7.0213978728098709</v>
      </c>
      <c r="AK37" s="64">
        <v>15</v>
      </c>
      <c r="AL37" s="48">
        <v>130</v>
      </c>
      <c r="AM37" s="49">
        <v>169</v>
      </c>
      <c r="AN37" s="49">
        <v>183</v>
      </c>
      <c r="AO37" s="49">
        <v>181</v>
      </c>
      <c r="AP37" s="49">
        <v>205</v>
      </c>
      <c r="AQ37" s="49">
        <v>202</v>
      </c>
      <c r="AR37" s="49">
        <v>183</v>
      </c>
      <c r="AS37" s="51">
        <v>180</v>
      </c>
      <c r="AT37" s="13">
        <v>153</v>
      </c>
      <c r="AU37" s="14">
        <v>158</v>
      </c>
      <c r="AV37" s="14">
        <v>173</v>
      </c>
      <c r="AW37" s="14">
        <v>178</v>
      </c>
      <c r="AX37" s="14">
        <v>168</v>
      </c>
      <c r="AY37" s="14">
        <v>176</v>
      </c>
      <c r="AZ37" s="14">
        <v>142</v>
      </c>
      <c r="BA37" s="15">
        <v>113</v>
      </c>
    </row>
  </sheetData>
  <mergeCells count="4">
    <mergeCell ref="A20:Q20"/>
    <mergeCell ref="S20:AI20"/>
    <mergeCell ref="A18:Q18"/>
    <mergeCell ref="AK20:BA20"/>
  </mergeCells>
  <conditionalFormatting sqref="B2:Q17">
    <cfRule type="colorScale" priority="2">
      <colorScale>
        <cfvo type="num" val="0"/>
        <cfvo type="num" val="255"/>
        <color theme="0"/>
        <color theme="1"/>
      </colorScale>
    </cfRule>
  </conditionalFormatting>
  <conditionalFormatting sqref="T2:AI17">
    <cfRule type="colorScale" priority="1">
      <colorScale>
        <cfvo type="num" val="0"/>
        <cfvo type="num" val="255"/>
        <color theme="0"/>
        <color theme="1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YCbCr - якростный канал</vt:lpstr>
      <vt:lpstr>DCT матрица</vt:lpstr>
      <vt:lpstr>Част. предст. изобр.</vt:lpstr>
      <vt:lpstr>Матрица квантования</vt:lpstr>
      <vt:lpstr>Сжатое изображение</vt:lpstr>
      <vt:lpstr>Итоговое сжатие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1234</dc:creator>
  <cp:lastModifiedBy>1234</cp:lastModifiedBy>
  <dcterms:created xsi:type="dcterms:W3CDTF">2015-06-05T18:19:34Z</dcterms:created>
  <dcterms:modified xsi:type="dcterms:W3CDTF">2023-05-11T15:20:22Z</dcterms:modified>
</cp:coreProperties>
</file>