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6" windowWidth="23040" windowHeight="9324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8" sheetId="8" r:id="rId7"/>
  </sheets>
  <definedNames>
    <definedName name="Города">Лист8!$A$1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C16" i="4"/>
  <c r="B2" i="5" l="1"/>
  <c r="B16" i="5"/>
  <c r="B13" i="5"/>
  <c r="B12" i="5"/>
  <c r="B11" i="5"/>
  <c r="B10" i="5"/>
  <c r="B8" i="5"/>
  <c r="B7" i="5"/>
  <c r="F2" i="4"/>
  <c r="E3" i="4"/>
  <c r="F3" i="4"/>
  <c r="F12" i="4"/>
  <c r="F11" i="4"/>
  <c r="F10" i="4"/>
  <c r="F9" i="4"/>
  <c r="F8" i="4"/>
  <c r="F7" i="4"/>
  <c r="F6" i="4"/>
  <c r="F5" i="4"/>
  <c r="F4" i="4"/>
  <c r="F13" i="4"/>
  <c r="E13" i="4"/>
  <c r="E12" i="4"/>
  <c r="E11" i="4"/>
  <c r="E10" i="4"/>
  <c r="E9" i="4"/>
  <c r="E8" i="4"/>
  <c r="E7" i="4"/>
  <c r="E6" i="4"/>
  <c r="E5" i="4"/>
  <c r="E4" i="4"/>
  <c r="E2" i="4"/>
  <c r="E4" i="3"/>
  <c r="F4" i="3"/>
  <c r="G4" i="3"/>
  <c r="H4" i="3"/>
  <c r="I4" i="3"/>
  <c r="E5" i="3"/>
  <c r="F5" i="3"/>
  <c r="G5" i="3"/>
  <c r="H5" i="3"/>
  <c r="I5" i="3"/>
  <c r="I3" i="3"/>
  <c r="H3" i="3"/>
  <c r="G3" i="3"/>
  <c r="E3" i="3"/>
  <c r="F3" i="3"/>
  <c r="E4" i="2"/>
  <c r="E3" i="2"/>
  <c r="E2" i="2"/>
  <c r="F3" i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<sst xmlns="http://schemas.openxmlformats.org/spreadsheetml/2006/main" count="123" uniqueCount="88">
  <si>
    <t>Название
товара</t>
  </si>
  <si>
    <t>Дата выдачи</t>
  </si>
  <si>
    <t>Дата возврата</t>
  </si>
  <si>
    <t>Продолжительность проката</t>
  </si>
  <si>
    <t>Стоимость проката за сутки</t>
  </si>
  <si>
    <t>Сумма к оплате</t>
  </si>
  <si>
    <t>сноуборд</t>
  </si>
  <si>
    <t>Лыжи</t>
  </si>
  <si>
    <t>Ботинки</t>
  </si>
  <si>
    <t>Сани</t>
  </si>
  <si>
    <t>№ поезда</t>
  </si>
  <si>
    <t>Маршрут</t>
  </si>
  <si>
    <t>Время отправления</t>
  </si>
  <si>
    <t>врем прибытия</t>
  </si>
  <si>
    <t>продолжительность поездки</t>
  </si>
  <si>
    <t>ФИО</t>
  </si>
  <si>
    <t>Предмет</t>
  </si>
  <si>
    <t>Математика</t>
  </si>
  <si>
    <t>Экономика</t>
  </si>
  <si>
    <t>Информатика</t>
  </si>
  <si>
    <t>Средний балл</t>
  </si>
  <si>
    <t>Количество сданных экзаменов</t>
  </si>
  <si>
    <t>Количество оценок "5"</t>
  </si>
  <si>
    <t>Количество оценок "4"</t>
  </si>
  <si>
    <t>Количество оценок "3"</t>
  </si>
  <si>
    <t>Иванов И.И.</t>
  </si>
  <si>
    <t>Петров П.П.</t>
  </si>
  <si>
    <t>Сидоров С.С.</t>
  </si>
  <si>
    <t>Код</t>
  </si>
  <si>
    <t>Тип</t>
  </si>
  <si>
    <t>Размер</t>
  </si>
  <si>
    <t>Назначение</t>
  </si>
  <si>
    <t>Затраты</t>
  </si>
  <si>
    <t>Возможная скидка</t>
  </si>
  <si>
    <t>PK0001</t>
  </si>
  <si>
    <t>PK0002</t>
  </si>
  <si>
    <t>PK0003</t>
  </si>
  <si>
    <t>PK0004</t>
  </si>
  <si>
    <t>PK0005</t>
  </si>
  <si>
    <t>PK0006</t>
  </si>
  <si>
    <t>PK0007</t>
  </si>
  <si>
    <t>PK0008</t>
  </si>
  <si>
    <t>PK0009</t>
  </si>
  <si>
    <t>PK0010</t>
  </si>
  <si>
    <t>PK0011</t>
  </si>
  <si>
    <t>PK0012</t>
  </si>
  <si>
    <t>Посылка</t>
  </si>
  <si>
    <t>Письмо</t>
  </si>
  <si>
    <t>Маленький</t>
  </si>
  <si>
    <t>Средний</t>
  </si>
  <si>
    <t>Большой</t>
  </si>
  <si>
    <t>Внутреннее</t>
  </si>
  <si>
    <t>Международное</t>
  </si>
  <si>
    <t>Статья</t>
  </si>
  <si>
    <t>Сумма</t>
  </si>
  <si>
    <t>Командировки</t>
  </si>
  <si>
    <t>Книги</t>
  </si>
  <si>
    <t>Топливо</t>
  </si>
  <si>
    <t>Наем автомобилей</t>
  </si>
  <si>
    <t>Наем жилья</t>
  </si>
  <si>
    <t>Обучение</t>
  </si>
  <si>
    <t>Питание</t>
  </si>
  <si>
    <t>Проезд</t>
  </si>
  <si>
    <t>Снабжение</t>
  </si>
  <si>
    <t>Телефон</t>
  </si>
  <si>
    <t>Карталы - Катав-Ивановск</t>
  </si>
  <si>
    <t>Карталы - Пласт</t>
  </si>
  <si>
    <t>Карталы - Усть-Катав</t>
  </si>
  <si>
    <t>Усть-Катав</t>
  </si>
  <si>
    <t>Аша</t>
  </si>
  <si>
    <t>Еманжелинск</t>
  </si>
  <si>
    <t>Карталы</t>
  </si>
  <si>
    <t>Верхний Уфалей</t>
  </si>
  <si>
    <t>Дата</t>
  </si>
  <si>
    <t>ID_Клиента</t>
  </si>
  <si>
    <t>Город</t>
  </si>
  <si>
    <t>Адрес</t>
  </si>
  <si>
    <t>телефон</t>
  </si>
  <si>
    <t>Ограничение</t>
  </si>
  <si>
    <t>A001</t>
  </si>
  <si>
    <t>пр. Ленина 80а</t>
  </si>
  <si>
    <t>пр. Ленина 80</t>
  </si>
  <si>
    <t>пр. Ленина 78</t>
  </si>
  <si>
    <t>111-11-11</t>
  </si>
  <si>
    <t>222-22-22</t>
  </si>
  <si>
    <t>333-33-33</t>
  </si>
  <si>
    <t>A002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</si>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</sst>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₽&quot;"/>
    <numFmt numFmtId="165" formatCode="[$-F400]h:mm:ss\ AM/PM"/>
    <numFmt numFmtId="166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14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0" xfId="0" applyBorder="1" applyAlignment="1">
      <alignment horizontal="center" vertical="center" textRotation="90"/>
    </xf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0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0" borderId="1" xfId="0" applyBorder="1"/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4" x14ac:dyDescent="0.3"/>
  <cols>
    <col min="1" max="1" width="10.21875" customWidth="1"/>
    <col min="2" max="2" width="12.21875" customWidth="1"/>
    <col min="3" max="3" width="13.77734375" customWidth="1"/>
    <col min="4" max="4" width="10" customWidth="1"/>
    <col min="5" max="5" width="10.88671875" customWidth="1"/>
    <col min="6" max="6" width="10.77734375" customWidth="1"/>
  </cols>
  <sheetData>
    <row r="1" spans="1:6" ht="41.4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 t="s">
        <v>6</v>
      </c>
      <c r="B2" s="7">
        <v>43117</v>
      </c>
      <c r="C2" s="7">
        <v>43118</v>
      </c>
      <c r="D2" s="8">
        <f>C2-B2</f>
        <v>1</v>
      </c>
      <c r="E2" s="9">
        <v>600</v>
      </c>
      <c r="F2" s="10">
        <f>D2*E2</f>
        <v>600</v>
      </c>
    </row>
    <row r="3" spans="1:6" x14ac:dyDescent="0.3">
      <c r="A3" s="6" t="s">
        <v>7</v>
      </c>
      <c r="B3" s="7">
        <v>43119</v>
      </c>
      <c r="C3" s="7">
        <v>43129</v>
      </c>
      <c r="D3" s="8">
        <f t="shared" ref="D3:D5" si="0">C3-B3</f>
        <v>10</v>
      </c>
      <c r="E3" s="9">
        <v>450</v>
      </c>
      <c r="F3" s="10">
        <f t="shared" ref="F3:F5" si="1">D3*E3</f>
        <v>4500</v>
      </c>
    </row>
    <row r="4" spans="1:6" x14ac:dyDescent="0.3">
      <c r="A4" s="6" t="s">
        <v>8</v>
      </c>
      <c r="B4" s="7">
        <v>43119</v>
      </c>
      <c r="C4" s="7">
        <v>43129</v>
      </c>
      <c r="D4" s="8">
        <f t="shared" si="0"/>
        <v>10</v>
      </c>
      <c r="E4" s="9">
        <v>250</v>
      </c>
      <c r="F4" s="10">
        <f t="shared" si="1"/>
        <v>2500</v>
      </c>
    </row>
    <row r="5" spans="1:6" x14ac:dyDescent="0.3">
      <c r="A5" s="11" t="s">
        <v>9</v>
      </c>
      <c r="B5" s="12">
        <v>43120</v>
      </c>
      <c r="C5" s="12">
        <v>43122</v>
      </c>
      <c r="D5" s="13">
        <f t="shared" si="0"/>
        <v>2</v>
      </c>
      <c r="E5" s="14">
        <v>300</v>
      </c>
      <c r="F5" s="15">
        <f t="shared" si="1"/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28.77734375" customWidth="1"/>
    <col min="3" max="3" width="12.21875" customWidth="1"/>
    <col min="4" max="4" width="9.88671875" customWidth="1"/>
    <col min="5" max="5" width="13.33203125" customWidth="1"/>
  </cols>
  <sheetData>
    <row r="1" spans="1:5" ht="43.2" x14ac:dyDescent="0.3">
      <c r="A1" s="3" t="s">
        <v>10</v>
      </c>
      <c r="B1" s="4" t="s">
        <v>11</v>
      </c>
      <c r="C1" s="4" t="s">
        <v>12</v>
      </c>
      <c r="D1" s="4" t="s">
        <v>13</v>
      </c>
      <c r="E1" s="5" t="s">
        <v>14</v>
      </c>
    </row>
    <row r="2" spans="1:5" x14ac:dyDescent="0.3">
      <c r="A2" s="6">
        <v>24</v>
      </c>
      <c r="B2" s="8" t="s">
        <v>67</v>
      </c>
      <c r="C2" s="16">
        <v>0.84513888888888899</v>
      </c>
      <c r="D2" s="16">
        <v>9.5138888888888884E-2</v>
      </c>
      <c r="E2" s="17">
        <f>D2-C2+IF(D2-C2&lt;0,24,0)</f>
        <v>23.25</v>
      </c>
    </row>
    <row r="3" spans="1:5" x14ac:dyDescent="0.3">
      <c r="A3" s="6">
        <v>69</v>
      </c>
      <c r="B3" s="8" t="s">
        <v>66</v>
      </c>
      <c r="C3" s="16">
        <v>0.67847222222222225</v>
      </c>
      <c r="D3" s="16">
        <v>0.34513888888888888</v>
      </c>
      <c r="E3" s="17">
        <f>D3-C3+IF(D3-C3&lt;0,24,0)</f>
        <v>23.666666666666668</v>
      </c>
    </row>
    <row r="4" spans="1:5" x14ac:dyDescent="0.3">
      <c r="A4" s="11">
        <v>212</v>
      </c>
      <c r="B4" s="13" t="s">
        <v>65</v>
      </c>
      <c r="C4" s="18">
        <v>0.4284722222222222</v>
      </c>
      <c r="D4" s="18">
        <v>0.63680555555555551</v>
      </c>
      <c r="E4" s="19">
        <f>D4-C4+IF(D4-C4&lt;0,24,0)</f>
        <v>0.20833333333333331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defaultRowHeight="14.4" x14ac:dyDescent="0.3"/>
  <cols>
    <col min="1" max="1" width="12.33203125" customWidth="1"/>
  </cols>
  <sheetData>
    <row r="1" spans="1:9" x14ac:dyDescent="0.3">
      <c r="A1" s="35" t="s">
        <v>15</v>
      </c>
      <c r="B1" s="34" t="s">
        <v>16</v>
      </c>
      <c r="C1" s="34"/>
      <c r="D1" s="34"/>
      <c r="E1" s="37" t="s">
        <v>20</v>
      </c>
      <c r="F1" s="39" t="s">
        <v>21</v>
      </c>
      <c r="G1" s="39" t="s">
        <v>22</v>
      </c>
      <c r="H1" s="39" t="s">
        <v>23</v>
      </c>
      <c r="I1" s="32" t="s">
        <v>24</v>
      </c>
    </row>
    <row r="2" spans="1:9" ht="72.599999999999994" customHeight="1" x14ac:dyDescent="0.3">
      <c r="A2" s="36"/>
      <c r="B2" s="20" t="s">
        <v>17</v>
      </c>
      <c r="C2" s="20" t="s">
        <v>18</v>
      </c>
      <c r="D2" s="20" t="s">
        <v>19</v>
      </c>
      <c r="E2" s="38"/>
      <c r="F2" s="40"/>
      <c r="G2" s="40"/>
      <c r="H2" s="40"/>
      <c r="I2" s="33"/>
    </row>
    <row r="3" spans="1:9" x14ac:dyDescent="0.3">
      <c r="A3" s="6" t="s">
        <v>25</v>
      </c>
      <c r="B3" s="8">
        <v>4</v>
      </c>
      <c r="C3" s="8">
        <v>4</v>
      </c>
      <c r="D3" s="8">
        <v>5</v>
      </c>
      <c r="E3" s="21">
        <f>SUM(B3:D3)/3</f>
        <v>4.333333333333333</v>
      </c>
      <c r="F3" s="21">
        <f>COUNTA(B3:D3)</f>
        <v>3</v>
      </c>
      <c r="G3" s="21">
        <f>COUNTIF(B3:D3, 5)</f>
        <v>1</v>
      </c>
      <c r="H3" s="21">
        <f>COUNTIF(B3:D3, 4)</f>
        <v>2</v>
      </c>
      <c r="I3" s="22">
        <f>COUNTIF(B3:D3, 3)</f>
        <v>0</v>
      </c>
    </row>
    <row r="4" spans="1:9" x14ac:dyDescent="0.3">
      <c r="A4" s="6" t="s">
        <v>26</v>
      </c>
      <c r="B4" s="8">
        <v>5</v>
      </c>
      <c r="C4" s="8">
        <v>5</v>
      </c>
      <c r="D4" s="8">
        <v>4</v>
      </c>
      <c r="E4" s="21">
        <f t="shared" ref="E4:E5" si="0">SUM(B4:D4)/3</f>
        <v>4.666666666666667</v>
      </c>
      <c r="F4" s="21">
        <f t="shared" ref="F4:F5" si="1">COUNTA(B4:D4)</f>
        <v>3</v>
      </c>
      <c r="G4" s="21">
        <f t="shared" ref="G4:G5" si="2">COUNTIF(B4:D4, 5)</f>
        <v>2</v>
      </c>
      <c r="H4" s="21">
        <f t="shared" ref="H4:H5" si="3">COUNTIF(B4:D4, 4)</f>
        <v>1</v>
      </c>
      <c r="I4" s="22">
        <f t="shared" ref="I4:I5" si="4">COUNTIF(B4:D4, 3)</f>
        <v>0</v>
      </c>
    </row>
    <row r="5" spans="1:9" x14ac:dyDescent="0.3">
      <c r="A5" s="11" t="s">
        <v>27</v>
      </c>
      <c r="B5" s="13">
        <v>3</v>
      </c>
      <c r="C5" s="13">
        <v>4</v>
      </c>
      <c r="D5" s="13">
        <v>4</v>
      </c>
      <c r="E5" s="23">
        <f t="shared" si="0"/>
        <v>3.6666666666666665</v>
      </c>
      <c r="F5" s="23">
        <f t="shared" si="1"/>
        <v>3</v>
      </c>
      <c r="G5" s="23">
        <f t="shared" si="2"/>
        <v>0</v>
      </c>
      <c r="H5" s="23">
        <f t="shared" si="3"/>
        <v>2</v>
      </c>
      <c r="I5" s="24">
        <f t="shared" si="4"/>
        <v>1</v>
      </c>
    </row>
  </sheetData>
  <mergeCells count="7">
    <mergeCell ref="I1:I2"/>
    <mergeCell ref="B1:D1"/>
    <mergeCell ref="A1:A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4" sqref="G14"/>
    </sheetView>
  </sheetViews>
  <sheetFormatPr defaultRowHeight="14.4" x14ac:dyDescent="0.3"/>
  <cols>
    <col min="3" max="3" width="11.33203125" customWidth="1"/>
    <col min="4" max="4" width="16" customWidth="1"/>
    <col min="5" max="5" width="11" bestFit="1" customWidth="1"/>
    <col min="6" max="6" width="10.88671875" customWidth="1"/>
  </cols>
  <sheetData>
    <row r="1" spans="1:6" ht="28.8" x14ac:dyDescent="0.3">
      <c r="A1" s="25" t="s">
        <v>28</v>
      </c>
      <c r="B1" s="26" t="s">
        <v>29</v>
      </c>
      <c r="C1" s="26" t="s">
        <v>30</v>
      </c>
      <c r="D1" s="26" t="s">
        <v>31</v>
      </c>
      <c r="E1" s="26" t="s">
        <v>32</v>
      </c>
      <c r="F1" s="5" t="s">
        <v>33</v>
      </c>
    </row>
    <row r="2" spans="1:6" x14ac:dyDescent="0.3">
      <c r="A2" s="6" t="s">
        <v>34</v>
      </c>
      <c r="B2" s="8" t="s">
        <v>46</v>
      </c>
      <c r="C2" s="8" t="s">
        <v>48</v>
      </c>
      <c r="D2" s="8" t="s">
        <v>51</v>
      </c>
      <c r="E2" s="27">
        <f>17*448.16</f>
        <v>7618.72</v>
      </c>
      <c r="F2" s="28">
        <f>IF(E2&gt;10000,0.05*E2,0)</f>
        <v>0</v>
      </c>
    </row>
    <row r="3" spans="1:6" x14ac:dyDescent="0.3">
      <c r="A3" s="6" t="s">
        <v>35</v>
      </c>
      <c r="B3" s="8" t="s">
        <v>46</v>
      </c>
      <c r="C3" s="8" t="s">
        <v>49</v>
      </c>
      <c r="D3" s="8" t="s">
        <v>51</v>
      </c>
      <c r="E3" s="27">
        <f>17*577.15</f>
        <v>9811.5499999999993</v>
      </c>
      <c r="F3" s="28">
        <f t="shared" ref="F3:F12" si="0">IF(E3&gt;10000,0.05*E3,0)</f>
        <v>0</v>
      </c>
    </row>
    <row r="4" spans="1:6" x14ac:dyDescent="0.3">
      <c r="A4" s="6" t="s">
        <v>36</v>
      </c>
      <c r="B4" s="8" t="s">
        <v>46</v>
      </c>
      <c r="C4" s="8" t="s">
        <v>50</v>
      </c>
      <c r="D4" s="8" t="s">
        <v>51</v>
      </c>
      <c r="E4" s="27">
        <f>17*519.65</f>
        <v>8834.0499999999993</v>
      </c>
      <c r="F4" s="28">
        <f t="shared" si="0"/>
        <v>0</v>
      </c>
    </row>
    <row r="5" spans="1:6" x14ac:dyDescent="0.3">
      <c r="A5" s="6" t="s">
        <v>37</v>
      </c>
      <c r="B5" s="8" t="s">
        <v>46</v>
      </c>
      <c r="C5" s="8" t="s">
        <v>48</v>
      </c>
      <c r="D5" s="8" t="s">
        <v>52</v>
      </c>
      <c r="E5" s="27">
        <f>17*318.13</f>
        <v>5408.21</v>
      </c>
      <c r="F5" s="28">
        <f t="shared" si="0"/>
        <v>0</v>
      </c>
    </row>
    <row r="6" spans="1:6" x14ac:dyDescent="0.3">
      <c r="A6" s="6" t="s">
        <v>38</v>
      </c>
      <c r="B6" s="8" t="s">
        <v>46</v>
      </c>
      <c r="C6" s="8" t="s">
        <v>49</v>
      </c>
      <c r="D6" s="8" t="s">
        <v>52</v>
      </c>
      <c r="E6" s="27">
        <f>17*528.3</f>
        <v>8981.0999999999985</v>
      </c>
      <c r="F6" s="28">
        <f t="shared" si="0"/>
        <v>0</v>
      </c>
    </row>
    <row r="7" spans="1:6" x14ac:dyDescent="0.3">
      <c r="A7" s="6" t="s">
        <v>39</v>
      </c>
      <c r="B7" s="8" t="s">
        <v>46</v>
      </c>
      <c r="C7" s="8" t="s">
        <v>50</v>
      </c>
      <c r="D7" s="8" t="s">
        <v>52</v>
      </c>
      <c r="E7" s="27">
        <f>17*374.76</f>
        <v>6370.92</v>
      </c>
      <c r="F7" s="28">
        <f t="shared" si="0"/>
        <v>0</v>
      </c>
    </row>
    <row r="8" spans="1:6" x14ac:dyDescent="0.3">
      <c r="A8" s="6" t="s">
        <v>40</v>
      </c>
      <c r="B8" s="8" t="s">
        <v>47</v>
      </c>
      <c r="C8" s="8" t="s">
        <v>48</v>
      </c>
      <c r="D8" s="8" t="s">
        <v>51</v>
      </c>
      <c r="E8" s="27">
        <f>227.93*17</f>
        <v>3874.81</v>
      </c>
      <c r="F8" s="28">
        <f t="shared" si="0"/>
        <v>0</v>
      </c>
    </row>
    <row r="9" spans="1:6" x14ac:dyDescent="0.3">
      <c r="A9" s="6" t="s">
        <v>41</v>
      </c>
      <c r="B9" s="8" t="s">
        <v>47</v>
      </c>
      <c r="C9" s="8" t="s">
        <v>49</v>
      </c>
      <c r="D9" s="8" t="s">
        <v>51</v>
      </c>
      <c r="E9" s="27">
        <f>210.56*17</f>
        <v>3579.52</v>
      </c>
      <c r="F9" s="28">
        <f t="shared" si="0"/>
        <v>0</v>
      </c>
    </row>
    <row r="10" spans="1:6" x14ac:dyDescent="0.3">
      <c r="A10" s="6" t="s">
        <v>42</v>
      </c>
      <c r="B10" s="8" t="s">
        <v>47</v>
      </c>
      <c r="C10" s="8" t="s">
        <v>50</v>
      </c>
      <c r="D10" s="8" t="s">
        <v>51</v>
      </c>
      <c r="E10" s="27">
        <f>204.48*17</f>
        <v>3476.16</v>
      </c>
      <c r="F10" s="28">
        <f t="shared" si="0"/>
        <v>0</v>
      </c>
    </row>
    <row r="11" spans="1:6" x14ac:dyDescent="0.3">
      <c r="A11" s="6" t="s">
        <v>43</v>
      </c>
      <c r="B11" s="8" t="s">
        <v>47</v>
      </c>
      <c r="C11" s="8" t="s">
        <v>48</v>
      </c>
      <c r="D11" s="8" t="s">
        <v>52</v>
      </c>
      <c r="E11" s="27">
        <f>101.89*17</f>
        <v>1732.13</v>
      </c>
      <c r="F11" s="28">
        <f t="shared" si="0"/>
        <v>0</v>
      </c>
    </row>
    <row r="12" spans="1:6" x14ac:dyDescent="0.3">
      <c r="A12" s="6" t="s">
        <v>44</v>
      </c>
      <c r="B12" s="8" t="s">
        <v>47</v>
      </c>
      <c r="C12" s="8" t="s">
        <v>49</v>
      </c>
      <c r="D12" s="8" t="s">
        <v>52</v>
      </c>
      <c r="E12" s="27">
        <f>183.09*17</f>
        <v>3112.53</v>
      </c>
      <c r="F12" s="28">
        <f t="shared" si="0"/>
        <v>0</v>
      </c>
    </row>
    <row r="13" spans="1:6" x14ac:dyDescent="0.3">
      <c r="A13" s="11" t="s">
        <v>45</v>
      </c>
      <c r="B13" s="13" t="s">
        <v>47</v>
      </c>
      <c r="C13" s="13" t="s">
        <v>50</v>
      </c>
      <c r="D13" s="13" t="s">
        <v>52</v>
      </c>
      <c r="E13" s="29">
        <f>172.55*17</f>
        <v>2933.3500000000004</v>
      </c>
      <c r="F13" s="30">
        <f>IF(E13&gt;10000,0.05*E13,0)</f>
        <v>0</v>
      </c>
    </row>
    <row r="15" spans="1:6" x14ac:dyDescent="0.3">
      <c r="C15" s="41"/>
    </row>
    <row r="16" spans="1:6" x14ac:dyDescent="0.3">
      <c r="C16" s="41">
        <f>AVERAGEIF(B2:B13, "Посылка", E2:E13)</f>
        <v>7837.4249999999993</v>
      </c>
      <c r="E16" s="41">
        <f>AVERAGEIFS(E2:E13,B2:B13, "Письмо",D2:D13,"Международное")</f>
        <v>2592.67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" sqref="D4"/>
    </sheetView>
  </sheetViews>
  <sheetFormatPr defaultRowHeight="14.4" x14ac:dyDescent="0.3"/>
  <cols>
    <col min="1" max="1" width="21.77734375" customWidth="1"/>
  </cols>
  <sheetData>
    <row r="1" spans="1:2" x14ac:dyDescent="0.3">
      <c r="A1" s="31" t="s">
        <v>53</v>
      </c>
      <c r="B1" s="31" t="s">
        <v>54</v>
      </c>
    </row>
    <row r="2" spans="1:2" x14ac:dyDescent="0.3">
      <c r="A2" s="31" t="s">
        <v>56</v>
      </c>
      <c r="B2" s="31">
        <f>VLOOKUP(A2,A7:B16,2,FALSE)</f>
        <v>34</v>
      </c>
    </row>
    <row r="6" spans="1:2" x14ac:dyDescent="0.3">
      <c r="A6" t="s">
        <v>53</v>
      </c>
      <c r="B6" t="s">
        <v>54</v>
      </c>
    </row>
    <row r="7" spans="1:2" x14ac:dyDescent="0.3">
      <c r="A7" t="s">
        <v>55</v>
      </c>
      <c r="B7">
        <f>17*10</f>
        <v>170</v>
      </c>
    </row>
    <row r="8" spans="1:2" x14ac:dyDescent="0.3">
      <c r="A8" t="s">
        <v>56</v>
      </c>
      <c r="B8">
        <f>17*2</f>
        <v>34</v>
      </c>
    </row>
    <row r="9" spans="1:2" x14ac:dyDescent="0.3">
      <c r="A9" t="s">
        <v>57</v>
      </c>
      <c r="B9">
        <v>18</v>
      </c>
    </row>
    <row r="10" spans="1:2" x14ac:dyDescent="0.3">
      <c r="A10" t="s">
        <v>58</v>
      </c>
      <c r="B10">
        <f>17*5</f>
        <v>85</v>
      </c>
    </row>
    <row r="11" spans="1:2" x14ac:dyDescent="0.3">
      <c r="A11" t="s">
        <v>59</v>
      </c>
      <c r="B11">
        <f>17*8</f>
        <v>136</v>
      </c>
    </row>
    <row r="12" spans="1:2" x14ac:dyDescent="0.3">
      <c r="A12" t="s">
        <v>60</v>
      </c>
      <c r="B12">
        <f>17*7</f>
        <v>119</v>
      </c>
    </row>
    <row r="13" spans="1:2" x14ac:dyDescent="0.3">
      <c r="A13" t="s">
        <v>61</v>
      </c>
      <c r="B13">
        <f>3*17</f>
        <v>51</v>
      </c>
    </row>
    <row r="14" spans="1:2" x14ac:dyDescent="0.3">
      <c r="A14" t="s">
        <v>62</v>
      </c>
      <c r="B14">
        <v>17</v>
      </c>
    </row>
    <row r="15" spans="1:2" x14ac:dyDescent="0.3">
      <c r="A15" t="s">
        <v>63</v>
      </c>
      <c r="B15">
        <v>20</v>
      </c>
    </row>
    <row r="16" spans="1:2" x14ac:dyDescent="0.3">
      <c r="A16" t="s">
        <v>64</v>
      </c>
      <c r="B16">
        <f>2*17-1</f>
        <v>33</v>
      </c>
    </row>
  </sheetData>
  <dataValidations count="1">
    <dataValidation type="list" allowBlank="1" showInputMessage="1" showErrorMessage="1" sqref="A2">
      <formula1>$A$7:$A$16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"/>
    </sheetView>
  </sheetViews>
  <sheetFormatPr defaultRowHeight="14.4" x14ac:dyDescent="0.3"/>
  <cols>
    <col min="1" max="1" width="10.33203125" customWidth="1"/>
    <col min="2" max="2" width="12.109375" customWidth="1"/>
    <col min="3" max="3" width="12.6640625" customWidth="1"/>
    <col min="4" max="4" width="14.109375" customWidth="1"/>
    <col min="5" max="5" width="11.21875" customWidth="1"/>
    <col min="6" max="6" width="16.21875" customWidth="1"/>
  </cols>
  <sheetData>
    <row r="1" spans="1:6" x14ac:dyDescent="0.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3">
      <c r="A2" s="2">
        <v>44211</v>
      </c>
      <c r="B2" t="s">
        <v>79</v>
      </c>
      <c r="C2" t="s">
        <v>69</v>
      </c>
      <c r="D2" t="s">
        <v>80</v>
      </c>
      <c r="E2" t="s">
        <v>83</v>
      </c>
      <c r="F2" s="1">
        <v>15000</v>
      </c>
    </row>
    <row r="3" spans="1:6" x14ac:dyDescent="0.3">
      <c r="A3" s="2">
        <v>44216</v>
      </c>
      <c r="B3" t="s">
        <v>86</v>
      </c>
      <c r="C3" t="s">
        <v>70</v>
      </c>
      <c r="D3" t="s">
        <v>81</v>
      </c>
      <c r="E3" t="s">
        <v>84</v>
      </c>
      <c r="F3" s="1">
        <v>25000</v>
      </c>
    </row>
    <row r="4" spans="1:6" x14ac:dyDescent="0.3">
      <c r="A4" s="2">
        <v>44537</v>
      </c>
      <c r="B4" t="s">
        <v>87</v>
      </c>
      <c r="C4" t="s">
        <v>68</v>
      </c>
      <c r="D4" t="s">
        <v>82</v>
      </c>
      <c r="E4" t="s">
        <v>85</v>
      </c>
      <c r="F4" s="1">
        <v>20000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Лист8!$A$1:$A$5</xm:f>
          </x14:formula1>
          <xm:sqref>C2:C4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  <row r="4" spans="1:1" x14ac:dyDescent="0.3">
      <c r="A4" t="s">
        <v>72</v>
      </c>
    </row>
    <row r="5" spans="1:1" x14ac:dyDescent="0.3">
      <c r="A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Лист8</vt:lpstr>
      <vt:lpstr>Города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2021-12-12T20:08:32Z</dcterms:modified>
</cp:coreProperties>
</file>