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ate/Downloads/"/>
    </mc:Choice>
  </mc:AlternateContent>
  <xr:revisionPtr revIDLastSave="0" documentId="13_ncr:1_{8645985C-6BA0-2945-B098-FD80A68C72C7}" xr6:coauthVersionLast="46" xr6:coauthVersionMax="46" xr10:uidLastSave="{00000000-0000-0000-0000-000000000000}"/>
  <bookViews>
    <workbookView xWindow="2620" yWindow="-19900" windowWidth="31600" windowHeight="19900" activeTab="1" xr2:uid="{5FA017C1-CAF3-404B-A028-43466E8BB58F}"/>
  </bookViews>
  <sheets>
    <sheet name="Model" sheetId="47" r:id="rId1"/>
    <sheet name="Model Guide" sheetId="102" r:id="rId2"/>
    <sheet name="etcd-driver-template" sheetId="98" r:id="rId3"/>
    <sheet name="knowledge transfer" sheetId="101" r:id="rId4"/>
  </sheets>
  <definedNames>
    <definedName name="churn_results.2020_09_08_14_42" localSheetId="2">'etcd-driver-template'!$M$38:$CB$138</definedName>
    <definedName name="churn_results.2020_09_08_14_42" localSheetId="3">'knowledge transfer'!$M$38:$CB$138</definedName>
    <definedName name="churn_results.2020_09_08_14_42_1" localSheetId="2">'etcd-driver-template'!$M$38:$CB$138</definedName>
    <definedName name="churn_results.2020_09_08_14_42_1" localSheetId="3">'knowledge transfer'!$M$38:$CB$138</definedName>
    <definedName name="ClientPods">Model!$B$26</definedName>
    <definedName name="DeleteMeanMicroseconds">Model!$C$60</definedName>
    <definedName name="DeleteMeanSeconds">Model!$D$60</definedName>
    <definedName name="EetcdDBSizeGiB">Model!$K$13</definedName>
    <definedName name="GetLevel">Model!$B$27</definedName>
    <definedName name="GetMeanMicroseconds">Model!$C$61</definedName>
    <definedName name="GetMeanSeconds">Model!$D$61</definedName>
    <definedName name="KeySize">Model!$E$17</definedName>
    <definedName name="Levels">Model!$E$19</definedName>
    <definedName name="PrefixGetMeanMicroseconds">Model!$C$62</definedName>
    <definedName name="PrefixGetMeanSeconds">Model!$D$62</definedName>
    <definedName name="PutMeanMicroseconds">Model!$C$59</definedName>
    <definedName name="PutMeanSeconds">Model!$D$59</definedName>
    <definedName name="SizeIncludesKey">Model!$K$3</definedName>
    <definedName name="ValueAndKeySize">Model!$E$16</definedName>
    <definedName name="ValueSizeAverage">Model!$E$15</definedName>
    <definedName name="WatchCount">Model!$B$40</definedName>
    <definedName name="WatchLevel">Model!$B$39</definedName>
    <definedName name="WatchPrefixGetInterval">Model!$B$38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101" l="1"/>
  <c r="C33" i="101"/>
  <c r="C32" i="101"/>
  <c r="C31" i="101"/>
  <c r="C30" i="101"/>
  <c r="C29" i="101"/>
  <c r="C28" i="101"/>
  <c r="C27" i="101"/>
  <c r="C26" i="101"/>
  <c r="C25" i="101"/>
  <c r="C24" i="101"/>
  <c r="C23" i="101"/>
  <c r="C22" i="101"/>
  <c r="C21" i="101"/>
  <c r="C20" i="101"/>
  <c r="B3" i="101" s="1"/>
  <c r="B16" i="101"/>
  <c r="C16" i="101" s="1"/>
  <c r="C15" i="101"/>
  <c r="B15" i="101"/>
  <c r="B14" i="101"/>
  <c r="I14" i="101" s="1"/>
  <c r="A14" i="101"/>
  <c r="B13" i="101"/>
  <c r="E13" i="101" s="1"/>
  <c r="A13" i="101"/>
  <c r="C12" i="101"/>
  <c r="I12" i="101" s="1"/>
  <c r="B12" i="101"/>
  <c r="F12" i="101" s="1"/>
  <c r="A12" i="101"/>
  <c r="J11" i="101"/>
  <c r="D11" i="101"/>
  <c r="K11" i="101" s="1"/>
  <c r="C11" i="101"/>
  <c r="B11" i="101"/>
  <c r="A11" i="101"/>
  <c r="C10" i="101"/>
  <c r="I10" i="101" s="1"/>
  <c r="B10" i="101"/>
  <c r="G10" i="101" s="1"/>
  <c r="A10" i="101"/>
  <c r="J9" i="101"/>
  <c r="D9" i="101"/>
  <c r="K9" i="101" s="1"/>
  <c r="C9" i="101"/>
  <c r="B9" i="101"/>
  <c r="A9" i="101"/>
  <c r="C8" i="101"/>
  <c r="B8" i="101"/>
  <c r="G8" i="101" s="1"/>
  <c r="A8" i="101"/>
  <c r="C7" i="101"/>
  <c r="B7" i="101"/>
  <c r="A7" i="101"/>
  <c r="J6" i="101"/>
  <c r="D6" i="101"/>
  <c r="K6" i="101" s="1"/>
  <c r="C6" i="101"/>
  <c r="I6" i="101" s="1"/>
  <c r="B6" i="101"/>
  <c r="E6" i="101" s="1"/>
  <c r="A6" i="101"/>
  <c r="A3" i="101"/>
  <c r="B2" i="101"/>
  <c r="C34" i="98"/>
  <c r="C33" i="98"/>
  <c r="C32" i="98"/>
  <c r="C31" i="98"/>
  <c r="C30" i="98"/>
  <c r="C29" i="98"/>
  <c r="C28" i="98"/>
  <c r="C27" i="98"/>
  <c r="C26" i="98"/>
  <c r="C25" i="98"/>
  <c r="C24" i="98"/>
  <c r="C23" i="98"/>
  <c r="C22" i="98"/>
  <c r="C21" i="98"/>
  <c r="C20" i="98"/>
  <c r="B3" i="98" s="1"/>
  <c r="B16" i="98"/>
  <c r="C16" i="98" s="1"/>
  <c r="C15" i="98"/>
  <c r="B15" i="98"/>
  <c r="B14" i="98"/>
  <c r="I14" i="98" s="1"/>
  <c r="A14" i="98"/>
  <c r="B13" i="98"/>
  <c r="E13" i="98" s="1"/>
  <c r="A13" i="98"/>
  <c r="C12" i="98"/>
  <c r="I12" i="98" s="1"/>
  <c r="B12" i="98"/>
  <c r="G12" i="98" s="1"/>
  <c r="A12" i="98"/>
  <c r="J11" i="98"/>
  <c r="D11" i="98"/>
  <c r="K11" i="98" s="1"/>
  <c r="C11" i="98"/>
  <c r="B11" i="98"/>
  <c r="A11" i="98"/>
  <c r="C10" i="98"/>
  <c r="I10" i="98" s="1"/>
  <c r="B10" i="98"/>
  <c r="G10" i="98" s="1"/>
  <c r="A10" i="98"/>
  <c r="J9" i="98"/>
  <c r="D9" i="98"/>
  <c r="K9" i="98" s="1"/>
  <c r="C9" i="98"/>
  <c r="B9" i="98"/>
  <c r="A9" i="98"/>
  <c r="C8" i="98"/>
  <c r="C17" i="98" s="1"/>
  <c r="B8" i="98"/>
  <c r="G8" i="98" s="1"/>
  <c r="A8" i="98"/>
  <c r="C7" i="98"/>
  <c r="B7" i="98"/>
  <c r="A7" i="98"/>
  <c r="J6" i="98"/>
  <c r="D6" i="98"/>
  <c r="K6" i="98" s="1"/>
  <c r="C6" i="98"/>
  <c r="I6" i="98" s="1"/>
  <c r="B6" i="98"/>
  <c r="G6" i="98" s="1"/>
  <c r="A6" i="98"/>
  <c r="A3" i="98"/>
  <c r="B2" i="98"/>
  <c r="G12" i="101" l="1"/>
  <c r="E10" i="101"/>
  <c r="F10" i="101"/>
  <c r="E8" i="101"/>
  <c r="F13" i="101"/>
  <c r="G13" i="101"/>
  <c r="F6" i="101"/>
  <c r="G6" i="101"/>
  <c r="E12" i="101"/>
  <c r="C17" i="101"/>
  <c r="F8" i="101"/>
  <c r="E12" i="98"/>
  <c r="F12" i="98"/>
  <c r="F10" i="98"/>
  <c r="G13" i="98"/>
  <c r="E10" i="98"/>
  <c r="E8" i="98"/>
  <c r="F13" i="98"/>
  <c r="F8" i="98"/>
  <c r="E6" i="98"/>
  <c r="F6" i="98"/>
  <c r="B42" i="47" l="1"/>
  <c r="D62" i="47" l="1"/>
  <c r="D61" i="47"/>
  <c r="D60" i="47"/>
  <c r="H28" i="47"/>
  <c r="H29" i="47" s="1"/>
  <c r="E19" i="47"/>
  <c r="E29" i="47" s="1"/>
  <c r="E28" i="47" s="1"/>
  <c r="G11" i="47"/>
  <c r="R16" i="47"/>
  <c r="F13" i="47"/>
  <c r="F12" i="47"/>
  <c r="G29" i="47" l="1"/>
  <c r="L29" i="47" s="1"/>
  <c r="G28" i="47"/>
  <c r="L28" i="47" l="1"/>
  <c r="B21" i="47" l="1"/>
  <c r="G10" i="47"/>
  <c r="G12" i="47"/>
  <c r="G13" i="47"/>
  <c r="I12" i="47"/>
  <c r="I13" i="47"/>
  <c r="H12" i="47"/>
  <c r="H13" i="47"/>
  <c r="H4" i="47"/>
  <c r="E17" i="47"/>
  <c r="D59" i="47"/>
  <c r="K49" i="47"/>
  <c r="K48" i="47"/>
  <c r="E33" i="47"/>
  <c r="G33" i="47" s="1"/>
  <c r="G9" i="47" l="1"/>
  <c r="G8" i="47" s="1"/>
  <c r="H26" i="47" s="1"/>
  <c r="H27" i="47" s="1"/>
  <c r="I49" i="47"/>
  <c r="J49" i="47" s="1"/>
  <c r="E32" i="47"/>
  <c r="G32" i="47" s="1"/>
  <c r="E31" i="47"/>
  <c r="G31" i="47" s="1"/>
  <c r="H5" i="47"/>
  <c r="G34" i="47"/>
  <c r="H30" i="47" l="1"/>
  <c r="H40" i="47"/>
  <c r="H41" i="47" s="1"/>
  <c r="G7" i="47"/>
  <c r="I48" i="47"/>
  <c r="L17" i="47" s="1"/>
  <c r="H6" i="47"/>
  <c r="G6" i="47" l="1"/>
  <c r="H7" i="47"/>
  <c r="J48" i="47"/>
  <c r="E16" i="47"/>
  <c r="K28" i="47" l="1"/>
  <c r="K29" i="47"/>
  <c r="E18" i="47"/>
  <c r="K32" i="47"/>
  <c r="F11" i="47"/>
  <c r="F10" i="47"/>
  <c r="K30" i="47"/>
  <c r="F8" i="47"/>
  <c r="F9" i="47"/>
  <c r="F7" i="47"/>
  <c r="G5" i="47"/>
  <c r="F6" i="47"/>
  <c r="H8" i="47"/>
  <c r="G4" i="47" l="1"/>
  <c r="F4" i="47" s="1"/>
  <c r="F5" i="47"/>
  <c r="H9" i="47"/>
  <c r="H31" i="47"/>
  <c r="L31" i="47" s="1"/>
  <c r="H33" i="47"/>
  <c r="L33" i="47" s="1"/>
  <c r="H34" i="47"/>
  <c r="K34" i="47" s="1"/>
  <c r="L32" i="47" l="1"/>
  <c r="H10" i="47"/>
  <c r="L48" i="47"/>
  <c r="L34" i="47"/>
  <c r="L49" i="47"/>
  <c r="H11" i="47" l="1"/>
  <c r="L14" i="47" l="1"/>
  <c r="H17" i="47"/>
  <c r="I17" i="47" s="1"/>
  <c r="H16" i="47"/>
  <c r="I16" i="47" s="1"/>
  <c r="H15" i="47"/>
  <c r="I15" i="47" s="1"/>
  <c r="N28" i="47"/>
  <c r="O29" i="47"/>
  <c r="O28" i="47"/>
  <c r="N29" i="47"/>
  <c r="B40" i="47"/>
  <c r="G37" i="47" s="1"/>
  <c r="N33" i="47"/>
  <c r="N49" i="47" s="1"/>
  <c r="O32" i="47"/>
  <c r="B28" i="47"/>
  <c r="E27" i="47" s="1"/>
  <c r="E26" i="47" s="1"/>
  <c r="G26" i="47" s="1"/>
  <c r="B35" i="47"/>
  <c r="E36" i="47" s="1"/>
  <c r="I11" i="47"/>
  <c r="I10" i="47"/>
  <c r="N32" i="47"/>
  <c r="N34" i="47"/>
  <c r="O34" i="47"/>
  <c r="I9" i="47"/>
  <c r="N31" i="47"/>
  <c r="N48" i="47" s="1"/>
  <c r="I8" i="47"/>
  <c r="I7" i="47"/>
  <c r="M48" i="47"/>
  <c r="I6" i="47"/>
  <c r="I5" i="47"/>
  <c r="M49" i="47"/>
  <c r="I4" i="47"/>
  <c r="O33" i="47"/>
  <c r="M37" i="47" l="1"/>
  <c r="E41" i="47"/>
  <c r="G41" i="47" s="1"/>
  <c r="K41" i="47" s="1"/>
  <c r="L20" i="47"/>
  <c r="I50" i="47"/>
  <c r="L26" i="47"/>
  <c r="N26" i="47" s="1"/>
  <c r="E35" i="47"/>
  <c r="G35" i="47" s="1"/>
  <c r="E39" i="47"/>
  <c r="G36" i="47"/>
  <c r="L36" i="47" s="1"/>
  <c r="L46" i="47" s="1"/>
  <c r="L47" i="47" s="1"/>
  <c r="G27" i="47"/>
  <c r="L19" i="47"/>
  <c r="J50" i="47"/>
  <c r="M50" i="47"/>
  <c r="T50" i="47" s="1"/>
  <c r="K26" i="47"/>
  <c r="E40" i="47" l="1"/>
  <c r="G40" i="47" s="1"/>
  <c r="L41" i="47"/>
  <c r="L51" i="47" s="1"/>
  <c r="I53" i="47"/>
  <c r="N36" i="47"/>
  <c r="N46" i="47" s="1"/>
  <c r="E38" i="47"/>
  <c r="G38" i="47" s="1"/>
  <c r="G39" i="47"/>
  <c r="I51" i="47"/>
  <c r="K27" i="47"/>
  <c r="O27" i="47" s="1"/>
  <c r="L27" i="47"/>
  <c r="N27" i="47" s="1"/>
  <c r="K36" i="47"/>
  <c r="K46" i="47" s="1"/>
  <c r="K35" i="47"/>
  <c r="K45" i="47" s="1"/>
  <c r="I52" i="47"/>
  <c r="L40" i="47"/>
  <c r="K40" i="47"/>
  <c r="K50" i="47" s="1"/>
  <c r="M53" i="47"/>
  <c r="J53" i="47" a="1"/>
  <c r="J53" i="47" s="1"/>
  <c r="O41" i="47"/>
  <c r="K53" i="47"/>
  <c r="I45" i="47"/>
  <c r="L35" i="47"/>
  <c r="O26" i="47"/>
  <c r="N41" i="47" l="1"/>
  <c r="L53" i="47"/>
  <c r="O36" i="47"/>
  <c r="O46" i="47" s="1"/>
  <c r="O47" i="47" s="1"/>
  <c r="P47" i="47" s="1"/>
  <c r="O35" i="47"/>
  <c r="O45" i="47" s="1"/>
  <c r="U45" i="47" s="1"/>
  <c r="M51" i="47"/>
  <c r="J51" i="47"/>
  <c r="K51" i="47"/>
  <c r="J45" i="47"/>
  <c r="I46" i="47"/>
  <c r="I54" i="47"/>
  <c r="M45" i="47"/>
  <c r="L16" i="47"/>
  <c r="O51" i="47"/>
  <c r="O53" i="47"/>
  <c r="N53" i="47"/>
  <c r="N51" i="47"/>
  <c r="O40" i="47"/>
  <c r="O52" i="47" s="1"/>
  <c r="U52" i="47" s="1"/>
  <c r="K52" i="47"/>
  <c r="N40" i="47"/>
  <c r="L52" i="47"/>
  <c r="L50" i="47"/>
  <c r="L45" i="47"/>
  <c r="N35" i="47"/>
  <c r="N45" i="47" s="1"/>
  <c r="M52" i="47"/>
  <c r="T52" i="47" s="1"/>
  <c r="J52" i="47"/>
  <c r="N52" i="47" l="1"/>
  <c r="N50" i="47"/>
  <c r="O50" i="47"/>
  <c r="U50" i="47" s="1"/>
  <c r="M54" i="47"/>
  <c r="T45" i="47"/>
  <c r="I55" i="47"/>
  <c r="M46" i="47"/>
  <c r="M55" i="47" s="1"/>
  <c r="I47" i="47"/>
  <c r="J46" i="47"/>
  <c r="J47" i="47" l="1"/>
  <c r="M47" i="4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Nate Rockwell</author>
  </authors>
  <commentList>
    <comment ref="E31" authorId="0" shapeId="0" xr:uid="{70E4942A-DD46-394F-AD62-B600854BEC39}">
      <text>
        <r>
          <rPr>
            <b/>
            <sz val="10"/>
            <color rgb="FF000000"/>
            <rFont val="Tahoma"/>
            <family val="2"/>
          </rPr>
          <t>Nate Rockwell: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'/2' is because 1/2 of requests are deletes and the other 1/2 are puts. Applies to cell below also.
</t>
        </r>
      </text>
    </comment>
    <comment ref="B38" authorId="0" shapeId="0" xr:uid="{1BCA7746-F8C1-7843-BBAA-CD0AF99D1996}">
      <text>
        <r>
          <rPr>
            <b/>
            <sz val="10"/>
            <color rgb="FF000000"/>
            <rFont val="Tahoma"/>
            <family val="2"/>
          </rPr>
          <t>Nate Rockwell: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Set to 0 if not doing scrapes of the watched keys.</t>
        </r>
      </text>
    </comment>
    <comment ref="B39" authorId="0" shapeId="0" xr:uid="{2C74054E-EFF3-0E4A-8E55-2E714309F660}">
      <text>
        <r>
          <rPr>
            <b/>
            <sz val="10"/>
            <color rgb="FF000000"/>
            <rFont val="Tahoma"/>
            <family val="2"/>
          </rPr>
          <t>Nate Rockwell: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Clear this field if watches aren't enabled.</t>
        </r>
      </text>
    </comment>
    <comment ref="B40" authorId="0" shapeId="0" xr:uid="{1F02FCE3-3E06-9C42-9530-96EA840F678F}">
      <text>
        <r>
          <rPr>
            <b/>
            <sz val="10"/>
            <color rgb="FF000000"/>
            <rFont val="Tahoma"/>
            <family val="2"/>
          </rPr>
          <t>Nate Rockwell: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this is set to anything besides 'n' (i.e. watch all prefixes at that level), then the watch events/&lt;time&gt; calculations are likely to be wrong. This is because keys being written may not be watched, though the calculations assumes they are watched.</t>
        </r>
      </text>
    </comment>
    <comment ref="P44" authorId="0" shapeId="0" xr:uid="{5040C23C-241F-CC4D-A3DB-F2EA824A9CB6}">
      <text>
        <r>
          <rPr>
            <b/>
            <sz val="10"/>
            <color rgb="FF000000"/>
            <rFont val="Tahoma"/>
            <family val="2"/>
          </rPr>
          <t>Nate Rockwell: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Calculations only work when SizeIncludesKey is TRUE.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124B62-AA60-5546-8E1A-D945A63E7953}" name="churn_results.2020-09-08-14-426111111211111111111211111111111111111112111111111111" type="6" refreshedVersion="6" background="1" saveData="1">
    <textPr sourceFile="/Users/nate/Work/etcd/3.3test-aug2020/5node-cluster/churn_results.2020-12-10-08-30-T142.csv" comma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7435109-27B6-D049-A983-BC075E951E6F}" name="churn_results.2020-09-08-14-4261111112111111111112111111111111111111121111111111111" type="6" refreshedVersion="6" background="1" saveData="1">
    <textPr sourceFile="/Users/nate/Work/etcd/3.3test-aug2020/5node-cluster/churn_results.2021-02-19-11-41.csv" comma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7A504A02-C4A9-6E49-A7F5-0A4F665EA30C}" name="churn_results.2020-09-08-14-426111111211111111111211111111111111111122111111111111" type="6" refreshedVersion="6" background="1" saveData="1">
    <textPr sourceFile="/Users/nate/Work/etcd/3.3test-aug2020/5node-cluster/churn_results.2020-12-10-13-25-T143.csv" comma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5662046-5AA0-5D48-ACAB-13A0B8098280}" name="churn_results.2020-09-08-14-4261111112111111111112111111111111111111221111111111111" type="6" refreshedVersion="6" background="1" saveData="1">
    <textPr sourceFile="/Users/nate/Work/etcd/3.3test-aug2020/5node-cluster/churn_results.2020-12-10-13-25-T143.csv" comma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<sst xmlns="http://schemas.openxmlformats.org/spreadsheetml/2006/main" count="1484" uniqueCount="245">
  <si>
    <t>test</t>
  </si>
  <si>
    <t>startTime</t>
  </si>
  <si>
    <t>duration (ms)</t>
  </si>
  <si>
    <t>churn-level</t>
  </si>
  <si>
    <t>churn-level-pct</t>
  </si>
  <si>
    <t>churn-level-rate</t>
  </si>
  <si>
    <t>churn-val-rate</t>
  </si>
  <si>
    <t>client-timeout</t>
  </si>
  <si>
    <t>clients</t>
  </si>
  <si>
    <t>conns</t>
  </si>
  <si>
    <t>endpoints</t>
  </si>
  <si>
    <t>etcd-reconnect-count</t>
  </si>
  <si>
    <t>file-comment</t>
  </si>
  <si>
    <t>full-get-read</t>
  </si>
  <si>
    <t>get-keys-only</t>
  </si>
  <si>
    <t>get-level</t>
  </si>
  <si>
    <t>get-rate</t>
  </si>
  <si>
    <t>pattern</t>
  </si>
  <si>
    <t>put-rate</t>
  </si>
  <si>
    <t>serializable-gets</t>
  </si>
  <si>
    <t>skip-init</t>
  </si>
  <si>
    <t>stats-interval</t>
  </si>
  <si>
    <t>test-end-key</t>
  </si>
  <si>
    <t>total</t>
  </si>
  <si>
    <t>val-spec</t>
  </si>
  <si>
    <t>verbose</t>
  </si>
  <si>
    <t>puts</t>
  </si>
  <si>
    <t>puts/sec</t>
  </si>
  <si>
    <t>deletes</t>
  </si>
  <si>
    <t>deletes/sec</t>
  </si>
  <si>
    <t>client deletes</t>
  </si>
  <si>
    <t>client deletes/sec</t>
  </si>
  <si>
    <t>gets</t>
  </si>
  <si>
    <t>gets/sec</t>
  </si>
  <si>
    <t>client gets</t>
  </si>
  <si>
    <t>client gets/sec</t>
  </si>
  <si>
    <t>key space</t>
  </si>
  <si>
    <t>errors</t>
  </si>
  <si>
    <t>Reconnects</t>
  </si>
  <si>
    <t>/test1/end</t>
  </si>
  <si>
    <t>pattern-summary</t>
  </si>
  <si>
    <t>Put</t>
  </si>
  <si>
    <t>Puts mean RT(Î¼s)</t>
  </si>
  <si>
    <t>Puts min RT(Î¼s)</t>
  </si>
  <si>
    <t>Puts max RT(Î¼s)</t>
  </si>
  <si>
    <t>Dels mean RT(Î¼s)</t>
  </si>
  <si>
    <t>Dels min RT(Î¼s)</t>
  </si>
  <si>
    <t>Dels max RT(Î¼s)</t>
  </si>
  <si>
    <t>Gets mean RT(Î¼s)</t>
  </si>
  <si>
    <t>Gets min RT(Î¼s)</t>
  </si>
  <si>
    <t>Gets max RT(Î¼s)</t>
  </si>
  <si>
    <t>Reconnect mean RT(Î¼s)</t>
  </si>
  <si>
    <t>Reconnect min RT(Î¼s)</t>
  </si>
  <si>
    <t>Reconnect max RT(Î¼s)</t>
  </si>
  <si>
    <t>do-not-exit</t>
  </si>
  <si>
    <t>Duration (hh:mm)</t>
  </si>
  <si>
    <t>Count</t>
  </si>
  <si>
    <t>Per sec</t>
  </si>
  <si>
    <t>Min (ms)</t>
  </si>
  <si>
    <t>Mean (ms)</t>
  </si>
  <si>
    <t>Max (ms)</t>
  </si>
  <si>
    <t>Sum client requests</t>
  </si>
  <si>
    <t>Pods</t>
  </si>
  <si>
    <t>Level</t>
  </si>
  <si>
    <t>Pattern</t>
  </si>
  <si>
    <t>expected keys</t>
  </si>
  <si>
    <t>Keys/pod Total</t>
  </si>
  <si>
    <t>getLevel</t>
  </si>
  <si>
    <t>churnLevel</t>
  </si>
  <si>
    <t>churnLevelPercent</t>
  </si>
  <si>
    <t>Keys/op</t>
  </si>
  <si>
    <t>=&gt; gets/second</t>
  </si>
  <si>
    <t>Value</t>
  </si>
  <si>
    <t>Keys/range get</t>
  </si>
  <si>
    <t>GET</t>
  </si>
  <si>
    <t>DELETE</t>
  </si>
  <si>
    <t>PUT</t>
  </si>
  <si>
    <t>Puts</t>
  </si>
  <si>
    <t>Deletes</t>
  </si>
  <si>
    <t>Gets</t>
  </si>
  <si>
    <t>=&gt; gets/minute</t>
  </si>
  <si>
    <t>=&gt; puts/minute</t>
  </si>
  <si>
    <t>=&gt; puts/second</t>
  </si>
  <si>
    <t>=&gt; deletes/second</t>
  </si>
  <si>
    <t>Ops/sec</t>
  </si>
  <si>
    <t>=&gt; prefix puts/second</t>
  </si>
  <si>
    <t>=&gt; prefix ops/minute</t>
  </si>
  <si>
    <t xml:space="preserve">Ex: 24 key prefixes at level for means it will churn 2 levels. So 2 deletes in a row, and then 2x80 keys in level =&gt; 160 puts. </t>
  </si>
  <si>
    <t>Note: If layer prefix has a lot of keys then puts determine rate more than anything.</t>
  </si>
  <si>
    <t>Puts/minute</t>
  </si>
  <si>
    <t>KiB/&lt;time&gt;</t>
  </si>
  <si>
    <t>Puts/sec</t>
  </si>
  <si>
    <t>Deletes/sec</t>
  </si>
  <si>
    <t>Deletes/minute</t>
  </si>
  <si>
    <t>Gets/sec</t>
  </si>
  <si>
    <t>Gets/minute</t>
  </si>
  <si>
    <t>Puts/hour</t>
  </si>
  <si>
    <t>Delete</t>
  </si>
  <si>
    <t>Get</t>
  </si>
  <si>
    <t>Mean (μs)</t>
  </si>
  <si>
    <t>Client Ops/&lt;time&gt;</t>
  </si>
  <si>
    <t>Mean (sec)</t>
  </si>
  <si>
    <t>Ops/&lt;time&gt;</t>
  </si>
  <si>
    <t>keys/&lt;time&gt;</t>
  </si>
  <si>
    <t>pods keys/&lt;time&gt;</t>
  </si>
  <si>
    <t>pods KiB/&lt;time)</t>
  </si>
  <si>
    <t>Hours to fill db</t>
  </si>
  <si>
    <t>Ops/minute</t>
  </si>
  <si>
    <t>/prefix</t>
  </si>
  <si>
    <t>/:ip</t>
  </si>
  <si>
    <t>First test</t>
  </si>
  <si>
    <t>Pattern Definition</t>
  </si>
  <si>
    <t>Key</t>
  </si>
  <si>
    <t>Formulas</t>
  </si>
  <si>
    <t>Size (B)/range</t>
  </si>
  <si>
    <t>Per Pod</t>
  </si>
  <si>
    <t>Across all pods</t>
  </si>
  <si>
    <t>Total keys by level</t>
  </si>
  <si>
    <t>Value+Key</t>
  </si>
  <si>
    <t>Total size by pod (MiB)</t>
  </si>
  <si>
    <t>Total size all pods (MiB)</t>
  </si>
  <si>
    <t>Per/second stats</t>
  </si>
  <si>
    <t>Per/hour stats</t>
  </si>
  <si>
    <t>Per/minute stats</t>
  </si>
  <si>
    <t>/%level2-%06d</t>
  </si>
  <si>
    <t>/%level3-%04d</t>
  </si>
  <si>
    <t>/%level4-%04d</t>
  </si>
  <si>
    <t>/%level5-%040d</t>
  </si>
  <si>
    <t>/%level6-%040d</t>
  </si>
  <si>
    <t>/%leaf7-%06d</t>
  </si>
  <si>
    <t>ChurnLevelRate (/hour)</t>
  </si>
  <si>
    <t>getRate (/hour)</t>
  </si>
  <si>
    <t>churnValRate (/hour)</t>
  </si>
  <si>
    <t>Key size</t>
  </si>
  <si>
    <t>Measure op response times (Update these times after a first test to insure that load drivers can maintain expected load)</t>
  </si>
  <si>
    <t>Duration Ops  (&lt;time&gt;)</t>
  </si>
  <si>
    <t>Parameter</t>
  </si>
  <si>
    <t>GetLevel</t>
  </si>
  <si>
    <t>ChurnLevel</t>
  </si>
  <si>
    <t>ChurnValue</t>
  </si>
  <si>
    <t>Load is within 90% of limit (ex: ops*response time is close to time interval)</t>
  </si>
  <si>
    <t>Load exceeds limit (ex: size of puts in hour exceeds db size)</t>
  </si>
  <si>
    <t>Rate</t>
  </si>
  <si>
    <t>Ops</t>
  </si>
  <si>
    <t>Goals</t>
  </si>
  <si>
    <t>Max DB size (GB)</t>
  </si>
  <si>
    <t>Goal</t>
  </si>
  <si>
    <t>Pods to meet goal</t>
  </si>
  <si>
    <t>Etcd CPU%</t>
  </si>
  <si>
    <t>20-40</t>
  </si>
  <si>
    <t>Cells to be update by user to change load charecteristics</t>
  </si>
  <si>
    <t>Get operations/second (Calls, not keys)</t>
  </si>
  <si>
    <t>Delete operations/second (Calls, not keys)</t>
  </si>
  <si>
    <t>Put operations/second (Calls, not keys)</t>
  </si>
  <si>
    <t>All pods</t>
  </si>
  <si>
    <t>Single Pod</t>
  </si>
  <si>
    <t>Load totals</t>
  </si>
  <si>
    <t>Watches</t>
  </si>
  <si>
    <t>Parameters and resulting load calculations</t>
  </si>
  <si>
    <t>watch-counts-per-level</t>
  </si>
  <si>
    <t>watch-prefix-get-interval</t>
  </si>
  <si>
    <t>watch-with-prefix</t>
  </si>
  <si>
    <t>watchers</t>
  </si>
  <si>
    <t>watch events</t>
  </si>
  <si>
    <t>watch events/sec</t>
  </si>
  <si>
    <t>0s</t>
  </si>
  <si>
    <t>0,0</t>
  </si>
  <si>
    <t>0,0,0,0,0,n,0,0</t>
  </si>
  <si>
    <t>Containers/pod</t>
  </si>
  <si>
    <t>Config</t>
  </si>
  <si>
    <t>puts bytes/sec</t>
  </si>
  <si>
    <t>gets bytes/sec</t>
  </si>
  <si>
    <t>KiB/sec</t>
  </si>
  <si>
    <t>Watch Events</t>
  </si>
  <si>
    <t>Watch</t>
  </si>
  <si>
    <t>watch level</t>
  </si>
  <si>
    <t>watch-prefix-get-interval (minutes)</t>
  </si>
  <si>
    <t>Watchers</t>
  </si>
  <si>
    <t>=&gt; watch events/sec</t>
  </si>
  <si>
    <t>=&gt; watch events/min</t>
  </si>
  <si>
    <t>=&gt; scrape gets/second</t>
  </si>
  <si>
    <t>=&gt; scrape gets/minute</t>
  </si>
  <si>
    <t>watch count (n=all)</t>
  </si>
  <si>
    <t>Armada South</t>
  </si>
  <si>
    <t>Req/sec</t>
  </si>
  <si>
    <t>MB/sec</t>
  </si>
  <si>
    <t>Etcd-driver as %of Armada South</t>
  </si>
  <si>
    <t>Size includes key</t>
  </si>
  <si>
    <t>[0-9]{10,30}</t>
  </si>
  <si>
    <t>/prefix/:ip/%level2-%06d[2]/%level3-%04d[6]/%level4-%04d[2]/%level5-%040d[100]/%level6-%040d[10]/%leaf7-%06d[5];[0-9]{10,30}</t>
  </si>
  <si>
    <t>10,30</t>
  </si>
  <si>
    <t>1/2 of driver</t>
  </si>
  <si>
    <t>(Value+Key)/Value</t>
  </si>
  <si>
    <t>Get prefix operations/second (Calls, not keys)</t>
  </si>
  <si>
    <t>Doesn't do plane get</t>
  </si>
  <si>
    <t>prefix gets</t>
  </si>
  <si>
    <t>prefix gets/sec</t>
  </si>
  <si>
    <t>client prefix gets</t>
  </si>
  <si>
    <t>client prefix gets/sec</t>
  </si>
  <si>
    <t>Prefix gets mean RT(Î¼s)</t>
  </si>
  <si>
    <t>Prefix gets min RT(Î¼s)</t>
  </si>
  <si>
    <t>Prefix gets max RT(Î¼s)</t>
  </si>
  <si>
    <t>prefix gets bytes/sec</t>
  </si>
  <si>
    <t>=&gt; prefix gets/second</t>
  </si>
  <si>
    <t>=&gt; prefix gets/minute</t>
  </si>
  <si>
    <t>Levels (0 based)</t>
  </si>
  <si>
    <t>Prefix Get</t>
  </si>
  <si>
    <t>3X driver</t>
  </si>
  <si>
    <t>Prefix Gets</t>
  </si>
  <si>
    <t>Armada Expectations</t>
  </si>
  <si>
    <t>Test/prod</t>
  </si>
  <si>
    <t>Prod Req/second</t>
  </si>
  <si>
    <t>Prod KiB/sec</t>
  </si>
  <si>
    <t>30s</t>
  </si>
  <si>
    <t>Setup</t>
  </si>
  <si>
    <t>put-rate (/hour)</t>
  </si>
  <si>
    <t>0,0,0,0,0,0,100,0</t>
  </si>
  <si>
    <t>per hour</t>
  </si>
  <si>
    <t xml:space="preserve">watch-prefix-get-interval </t>
  </si>
  <si>
    <t>churnValRate</t>
  </si>
  <si>
    <t>ChurnLevelRate</t>
  </si>
  <si>
    <t>getRate</t>
  </si>
  <si>
    <t>Clients</t>
  </si>
  <si>
    <t>Connections</t>
  </si>
  <si>
    <t>Errors</t>
  </si>
  <si>
    <t>Notes</t>
  </si>
  <si>
    <t>etcd 3.4.11</t>
  </si>
  <si>
    <t>DB size:  -&gt;  GB</t>
  </si>
  <si>
    <t>V - Select the "test" box below and then select Data-&gt;Refresh from the command bar. Select the churn_results.csv file from your local disk and import the results.</t>
  </si>
  <si>
    <t>puts mean RT(Î¼s)</t>
  </si>
  <si>
    <t>puts min RT(Î¼s)</t>
  </si>
  <si>
    <t>puts max RT(Î¼s)</t>
  </si>
  <si>
    <t>deletes mean RT(Î¼s)</t>
  </si>
  <si>
    <t>deletes min RT(Î¼s)</t>
  </si>
  <si>
    <t>deletes max RT(Î¼s)</t>
  </si>
  <si>
    <t>gets mean RT(Î¼s)</t>
  </si>
  <si>
    <t>gets min RT(Î¼s)</t>
  </si>
  <si>
    <t>gets max RT(Î¼s)</t>
  </si>
  <si>
    <t>reconnects</t>
  </si>
  <si>
    <t>reconnect mean RT(Î¼s)</t>
  </si>
  <si>
    <t>reconnect min RT(Î¼s)</t>
  </si>
  <si>
    <t>reconnect max RT(Î¼s)</t>
  </si>
  <si>
    <t>prefix gets mean RT(Î¼s)</t>
  </si>
  <si>
    <t>prefix gets min RT(Î¼s)</t>
  </si>
  <si>
    <t>prefix gets max RT(Î¼s)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</si>
</sst>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0.0%"/>
  </numFmts>
  <fonts count="10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212529"/>
      <name val="Helvetica Neue"/>
      <family val="2"/>
    </font>
    <font>
      <i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22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0" borderId="0" xfId="0" applyFill="1" applyAlignment="1">
      <alignment horizontal="right"/>
    </xf>
    <xf numFmtId="0" fontId="3" fillId="0" borderId="0" xfId="0" applyFont="1"/>
    <xf numFmtId="4" fontId="0" fillId="0" borderId="0" xfId="0" applyNumberFormat="1"/>
    <xf numFmtId="3" fontId="0" fillId="2" borderId="0" xfId="0" applyNumberFormat="1" applyFill="1"/>
    <xf numFmtId="3" fontId="0" fillId="0" borderId="0" xfId="0" applyNumberFormat="1" applyFill="1"/>
    <xf numFmtId="165" fontId="0" fillId="0" borderId="0" xfId="0" applyNumberFormat="1"/>
    <xf numFmtId="3" fontId="0" fillId="4" borderId="0" xfId="0" applyNumberFormat="1" applyFill="1"/>
    <xf numFmtId="3" fontId="0" fillId="5" borderId="0" xfId="0" applyNumberFormat="1" applyFill="1"/>
    <xf numFmtId="3" fontId="0" fillId="6" borderId="0" xfId="0" applyNumberFormat="1" applyFill="1"/>
    <xf numFmtId="3" fontId="0" fillId="7" borderId="0" xfId="0" applyNumberFormat="1" applyFill="1"/>
    <xf numFmtId="0" fontId="1" fillId="5" borderId="0" xfId="0" applyFont="1" applyFill="1"/>
    <xf numFmtId="3" fontId="0" fillId="5" borderId="1" xfId="0" applyNumberFormat="1" applyFill="1" applyBorder="1"/>
    <xf numFmtId="3" fontId="2" fillId="0" borderId="1" xfId="0" applyNumberFormat="1" applyFont="1" applyBorder="1"/>
    <xf numFmtId="164" fontId="0" fillId="5" borderId="1" xfId="0" applyNumberFormat="1" applyFill="1" applyBorder="1"/>
    <xf numFmtId="3" fontId="0" fillId="4" borderId="1" xfId="0" applyNumberFormat="1" applyFill="1" applyBorder="1"/>
    <xf numFmtId="3" fontId="0" fillId="6" borderId="1" xfId="0" applyNumberFormat="1" applyFill="1" applyBorder="1"/>
    <xf numFmtId="3" fontId="0" fillId="0" borderId="1" xfId="0" applyNumberFormat="1" applyFill="1" applyBorder="1"/>
    <xf numFmtId="165" fontId="0" fillId="4" borderId="1" xfId="0" applyNumberFormat="1" applyFill="1" applyBorder="1"/>
    <xf numFmtId="165" fontId="0" fillId="6" borderId="1" xfId="0" applyNumberFormat="1" applyFill="1" applyBorder="1"/>
    <xf numFmtId="3" fontId="0" fillId="7" borderId="1" xfId="0" applyNumberFormat="1" applyFill="1" applyBorder="1"/>
    <xf numFmtId="165" fontId="0" fillId="7" borderId="1" xfId="0" applyNumberFormat="1" applyFill="1" applyBorder="1"/>
    <xf numFmtId="3" fontId="0" fillId="3" borderId="0" xfId="0" applyNumberFormat="1" applyFill="1"/>
    <xf numFmtId="165" fontId="0" fillId="5" borderId="1" xfId="0" applyNumberFormat="1" applyFill="1" applyBorder="1"/>
    <xf numFmtId="3" fontId="0" fillId="8" borderId="1" xfId="0" applyNumberFormat="1" applyFill="1" applyBorder="1"/>
    <xf numFmtId="3" fontId="1" fillId="8" borderId="1" xfId="0" applyNumberFormat="1" applyFont="1" applyFill="1" applyBorder="1"/>
    <xf numFmtId="3" fontId="0" fillId="9" borderId="0" xfId="0" applyNumberFormat="1" applyFill="1"/>
    <xf numFmtId="3" fontId="1" fillId="9" borderId="1" xfId="0" applyNumberFormat="1" applyFont="1" applyFill="1" applyBorder="1"/>
    <xf numFmtId="3" fontId="0" fillId="9" borderId="1" xfId="0" applyNumberFormat="1" applyFill="1" applyBorder="1"/>
    <xf numFmtId="9" fontId="0" fillId="9" borderId="1" xfId="0" applyNumberFormat="1" applyFill="1" applyBorder="1"/>
    <xf numFmtId="3" fontId="5" fillId="9" borderId="1" xfId="0" applyNumberFormat="1" applyFont="1" applyFill="1" applyBorder="1"/>
    <xf numFmtId="3" fontId="4" fillId="9" borderId="1" xfId="0" applyNumberFormat="1" applyFont="1" applyFill="1" applyBorder="1"/>
    <xf numFmtId="3" fontId="0" fillId="9" borderId="1" xfId="0" quotePrefix="1" applyNumberFormat="1" applyFill="1" applyBorder="1"/>
    <xf numFmtId="3" fontId="2" fillId="0" borderId="2" xfId="0" applyNumberFormat="1" applyFont="1" applyBorder="1"/>
    <xf numFmtId="3" fontId="0" fillId="4" borderId="2" xfId="0" quotePrefix="1" applyNumberFormat="1" applyFill="1" applyBorder="1"/>
    <xf numFmtId="3" fontId="0" fillId="6" borderId="2" xfId="0" quotePrefix="1" applyNumberFormat="1" applyFill="1" applyBorder="1"/>
    <xf numFmtId="3" fontId="0" fillId="0" borderId="2" xfId="0" applyNumberFormat="1" applyBorder="1"/>
    <xf numFmtId="3" fontId="2" fillId="0" borderId="3" xfId="0" applyNumberFormat="1" applyFont="1" applyBorder="1"/>
    <xf numFmtId="3" fontId="0" fillId="4" borderId="3" xfId="0" applyNumberFormat="1" applyFill="1" applyBorder="1"/>
    <xf numFmtId="3" fontId="0" fillId="6" borderId="3" xfId="0" applyNumberFormat="1" applyFill="1" applyBorder="1"/>
    <xf numFmtId="3" fontId="0" fillId="0" borderId="3" xfId="0" applyNumberForma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6" xfId="0" applyNumberFormat="1" applyFon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3" fontId="0" fillId="4" borderId="7" xfId="0" applyNumberFormat="1" applyFill="1" applyBorder="1"/>
    <xf numFmtId="3" fontId="0" fillId="4" borderId="8" xfId="0" applyNumberFormat="1" applyFill="1" applyBorder="1"/>
    <xf numFmtId="3" fontId="0" fillId="6" borderId="7" xfId="0" applyNumberFormat="1" applyFill="1" applyBorder="1"/>
    <xf numFmtId="3" fontId="0" fillId="6" borderId="8" xfId="0" applyNumberFormat="1" applyFill="1" applyBorder="1"/>
    <xf numFmtId="3" fontId="0" fillId="0" borderId="7" xfId="0" applyNumberFormat="1" applyBorder="1"/>
    <xf numFmtId="3" fontId="0" fillId="0" borderId="8" xfId="0" applyNumberFormat="1" applyBorder="1"/>
    <xf numFmtId="3" fontId="0" fillId="6" borderId="9" xfId="0" applyNumberFormat="1" applyFill="1" applyBorder="1"/>
    <xf numFmtId="3" fontId="0" fillId="6" borderId="10" xfId="0" applyNumberFormat="1" applyFill="1" applyBorder="1"/>
    <xf numFmtId="3" fontId="0" fillId="6" borderId="11" xfId="0" applyNumberFormat="1" applyFill="1" applyBorder="1"/>
    <xf numFmtId="3" fontId="0" fillId="4" borderId="2" xfId="0" applyNumberFormat="1" applyFill="1" applyBorder="1"/>
    <xf numFmtId="3" fontId="0" fillId="6" borderId="2" xfId="0" applyNumberFormat="1" applyFill="1" applyBorder="1"/>
    <xf numFmtId="3" fontId="0" fillId="7" borderId="2" xfId="0" applyNumberFormat="1" applyFill="1" applyBorder="1"/>
    <xf numFmtId="3" fontId="2" fillId="0" borderId="12" xfId="0" applyNumberFormat="1" applyFont="1" applyBorder="1"/>
    <xf numFmtId="3" fontId="2" fillId="0" borderId="13" xfId="0" applyNumberFormat="1" applyFont="1" applyBorder="1"/>
    <xf numFmtId="3" fontId="2" fillId="0" borderId="14" xfId="0" applyNumberFormat="1" applyFont="1" applyBorder="1"/>
    <xf numFmtId="3" fontId="0" fillId="7" borderId="7" xfId="0" applyNumberFormat="1" applyFill="1" applyBorder="1"/>
    <xf numFmtId="3" fontId="0" fillId="7" borderId="8" xfId="0" applyNumberFormat="1" applyFill="1" applyBorder="1"/>
    <xf numFmtId="165" fontId="0" fillId="6" borderId="10" xfId="0" applyNumberFormat="1" applyFill="1" applyBorder="1"/>
    <xf numFmtId="3" fontId="3" fillId="0" borderId="1" xfId="0" applyNumberFormat="1" applyFont="1" applyBorder="1"/>
    <xf numFmtId="3" fontId="2" fillId="0" borderId="0" xfId="0" applyNumberFormat="1" applyFont="1" applyFill="1" applyBorder="1"/>
    <xf numFmtId="3" fontId="0" fillId="0" borderId="0" xfId="0" applyNumberForma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164" fontId="0" fillId="0" borderId="1" xfId="0" applyNumberFormat="1" applyFill="1" applyBorder="1"/>
    <xf numFmtId="0" fontId="0" fillId="10" borderId="0" xfId="0" applyFill="1"/>
    <xf numFmtId="3" fontId="0" fillId="10" borderId="0" xfId="0" applyNumberFormat="1" applyFill="1"/>
    <xf numFmtId="0" fontId="0" fillId="0" borderId="0" xfId="0" applyFill="1"/>
    <xf numFmtId="0" fontId="0" fillId="0" borderId="0" xfId="0" applyFill="1" applyBorder="1"/>
    <xf numFmtId="164" fontId="0" fillId="0" borderId="0" xfId="0" applyNumberFormat="1" applyFill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4" fontId="0" fillId="0" borderId="1" xfId="0" applyNumberFormat="1" applyBorder="1"/>
    <xf numFmtId="3" fontId="5" fillId="0" borderId="0" xfId="0" applyNumberFormat="1" applyFont="1"/>
    <xf numFmtId="3" fontId="5" fillId="0" borderId="0" xfId="0" applyNumberFormat="1" applyFont="1" applyFill="1" applyBorder="1"/>
    <xf numFmtId="0" fontId="0" fillId="11" borderId="0" xfId="0" applyFill="1"/>
    <xf numFmtId="164" fontId="0" fillId="7" borderId="1" xfId="0" applyNumberFormat="1" applyFill="1" applyBorder="1"/>
    <xf numFmtId="164" fontId="0" fillId="4" borderId="1" xfId="0" applyNumberFormat="1" applyFill="1" applyBorder="1"/>
    <xf numFmtId="164" fontId="0" fillId="6" borderId="1" xfId="0" applyNumberFormat="1" applyFill="1" applyBorder="1"/>
    <xf numFmtId="164" fontId="0" fillId="6" borderId="10" xfId="0" applyNumberFormat="1" applyFill="1" applyBorder="1"/>
    <xf numFmtId="3" fontId="2" fillId="0" borderId="1" xfId="0" applyNumberFormat="1" applyFont="1" applyFill="1" applyBorder="1"/>
    <xf numFmtId="9" fontId="0" fillId="0" borderId="1" xfId="0" applyNumberFormat="1" applyBorder="1"/>
    <xf numFmtId="166" fontId="0" fillId="4" borderId="1" xfId="0" applyNumberFormat="1" applyFill="1" applyBorder="1"/>
    <xf numFmtId="166" fontId="0" fillId="6" borderId="1" xfId="0" applyNumberFormat="1" applyFill="1" applyBorder="1"/>
    <xf numFmtId="166" fontId="0" fillId="7" borderId="1" xfId="0" applyNumberFormat="1" applyFill="1" applyBorder="1"/>
    <xf numFmtId="166" fontId="0" fillId="6" borderId="10" xfId="0" applyNumberFormat="1" applyFill="1" applyBorder="1"/>
    <xf numFmtId="3" fontId="8" fillId="0" borderId="0" xfId="0" applyNumberFormat="1" applyFont="1"/>
    <xf numFmtId="164" fontId="0" fillId="4" borderId="7" xfId="0" applyNumberFormat="1" applyFill="1" applyBorder="1"/>
    <xf numFmtId="164" fontId="0" fillId="6" borderId="7" xfId="0" applyNumberFormat="1" applyFill="1" applyBorder="1"/>
    <xf numFmtId="164" fontId="0" fillId="7" borderId="7" xfId="0" applyNumberFormat="1" applyFill="1" applyBorder="1"/>
    <xf numFmtId="164" fontId="0" fillId="6" borderId="9" xfId="0" applyNumberFormat="1" applyFill="1" applyBorder="1"/>
    <xf numFmtId="4" fontId="0" fillId="4" borderId="7" xfId="0" applyNumberFormat="1" applyFill="1" applyBorder="1"/>
    <xf numFmtId="4" fontId="0" fillId="6" borderId="7" xfId="0" applyNumberFormat="1" applyFill="1" applyBorder="1"/>
    <xf numFmtId="4" fontId="0" fillId="0" borderId="7" xfId="0" applyNumberFormat="1" applyBorder="1"/>
    <xf numFmtId="4" fontId="0" fillId="6" borderId="9" xfId="0" applyNumberFormat="1" applyFill="1" applyBorder="1"/>
    <xf numFmtId="4" fontId="0" fillId="7" borderId="1" xfId="0" applyNumberFormat="1" applyFill="1" applyBorder="1"/>
    <xf numFmtId="4" fontId="0" fillId="4" borderId="1" xfId="0" applyNumberFormat="1" applyFill="1" applyBorder="1"/>
    <xf numFmtId="4" fontId="0" fillId="6" borderId="1" xfId="0" applyNumberFormat="1" applyFill="1" applyBorder="1"/>
    <xf numFmtId="4" fontId="0" fillId="6" borderId="10" xfId="0" applyNumberFormat="1" applyFill="1" applyBorder="1"/>
    <xf numFmtId="3" fontId="0" fillId="12" borderId="0" xfId="0" applyNumberFormat="1" applyFill="1" applyBorder="1"/>
    <xf numFmtId="3" fontId="0" fillId="3" borderId="0" xfId="0" applyNumberFormat="1" applyFill="1" applyBorder="1"/>
    <xf numFmtId="9" fontId="0" fillId="5" borderId="1" xfId="0" applyNumberFormat="1" applyFill="1" applyBorder="1"/>
    <xf numFmtId="3" fontId="9" fillId="9" borderId="1" xfId="0" applyNumberFormat="1" applyFont="1" applyFill="1" applyBorder="1"/>
    <xf numFmtId="164" fontId="5" fillId="9" borderId="1" xfId="0" applyNumberFormat="1" applyFont="1" applyFill="1" applyBorder="1"/>
    <xf numFmtId="1" fontId="0" fillId="0" borderId="1" xfId="0" applyNumberFormat="1" applyBorder="1"/>
    <xf numFmtId="3" fontId="2" fillId="9" borderId="1" xfId="0" applyNumberFormat="1" applyFont="1" applyFill="1" applyBorder="1"/>
    <xf numFmtId="0" fontId="0" fillId="0" borderId="3" xfId="0" applyBorder="1"/>
    <xf numFmtId="164" fontId="0" fillId="0" borderId="0" xfId="0" applyNumberFormat="1" applyBorder="1"/>
    <xf numFmtId="0" fontId="0" fillId="0" borderId="20" xfId="0" applyBorder="1"/>
    <xf numFmtId="4" fontId="0" fillId="0" borderId="0" xfId="0" applyNumberFormat="1" applyBorder="1"/>
    <xf numFmtId="1" fontId="0" fillId="0" borderId="0" xfId="0" applyNumberFormat="1" applyBorder="1"/>
    <xf numFmtId="9" fontId="0" fillId="0" borderId="0" xfId="0" applyNumberFormat="1" applyBorder="1"/>
    <xf numFmtId="165" fontId="0" fillId="0" borderId="1" xfId="0" applyNumberFormat="1" applyBorder="1"/>
    <xf numFmtId="0" fontId="0" fillId="13" borderId="0" xfId="0" applyFill="1"/>
  </cellXfs>
  <cellStyles count="1">
    <cellStyle name="Normal" xfId="0" builtinId="0"/>
  </cellStyles>
  <dxfs count="24">
    <dxf>
      <font>
        <color rgb="FF9C0006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fgColor auto="1"/>
          <bgColor rgb="FFFF0000"/>
        </patternFill>
      </fill>
    </dxf>
    <dxf>
      <fill>
        <patternFill>
          <fgColor auto="1"/>
          <bgColor theme="5"/>
        </patternFill>
      </fill>
    </dxf>
    <dxf>
      <fill>
        <patternFill>
          <fgColor auto="1"/>
          <bgColor rgb="FFFF0000"/>
        </patternFill>
      </fill>
    </dxf>
    <dxf>
      <fill>
        <patternFill>
          <fgColor auto="1"/>
          <bgColor theme="5"/>
        </patternFill>
      </fill>
    </dxf>
    <dxf>
      <fill>
        <patternFill>
          <fgColor auto="1"/>
          <bgColor rgb="FFFF0000"/>
        </patternFill>
      </fill>
    </dxf>
    <dxf>
      <fill>
        <patternFill>
          <fgColor auto="1"/>
          <bgColor theme="5"/>
        </patternFill>
      </fill>
    </dxf>
    <dxf>
      <fill>
        <patternFill>
          <fgColor auto="1"/>
          <bgColor rgb="FFFF0000"/>
        </patternFill>
      </fill>
    </dxf>
    <dxf>
      <fill>
        <patternFill>
          <fgColor auto="1"/>
          <bgColor theme="5"/>
        </patternFill>
      </fill>
    </dxf>
    <dxf>
      <fill>
        <patternFill>
          <fgColor auto="1"/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fgColor auto="1"/>
          <bgColor theme="5"/>
        </patternFill>
      </fill>
    </dxf>
    <dxf>
      <fill>
        <patternFill>
          <fgColor auto="1"/>
          <bgColor rgb="FFFF0000"/>
        </patternFill>
      </fill>
    </dxf>
    <dxf>
      <fill>
        <patternFill>
          <fgColor auto="1"/>
          <bgColor theme="5"/>
        </patternFill>
      </fill>
    </dxf>
    <dxf>
      <fill>
        <patternFill>
          <fgColor auto="1"/>
          <bgColor rgb="FFFF0000"/>
        </patternFill>
      </fill>
    </dxf>
    <dxf>
      <fill>
        <patternFill>
          <fgColor auto="1"/>
          <bgColor theme="5"/>
        </patternFill>
      </fill>
    </dxf>
    <dxf>
      <fill>
        <patternFill>
          <fgColor auto="1"/>
          <bgColor rgb="FFFF0000"/>
        </patternFill>
      </fill>
    </dxf>
    <dxf>
      <fill>
        <patternFill>
          <fgColor auto="1"/>
          <bgColor theme="5"/>
        </patternFill>
      </fill>
    </dxf>
    <dxf>
      <fill>
        <patternFill>
          <fgColor auto="1"/>
          <bgColor rgb="FFFF0000"/>
        </patternFill>
      </fill>
    </dxf>
    <dxf>
      <fill>
        <patternFill>
          <fgColor auto="1"/>
          <bgColor theme="5"/>
        </patternFill>
      </fill>
    </dxf>
    <dxf>
      <fill>
        <patternFill>
          <fgColor auto="1"/>
          <bgColor rgb="FFFF0000"/>
        </patternFill>
      </fill>
    </dxf>
    <dxf>
      <fill>
        <patternFill>
          <fgColor auto="1"/>
          <bgColor theme="5"/>
        </patternFill>
      </fill>
    </dxf>
    <dxf>
      <fill>
        <patternFill>
          <fgColor auto="1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114300</xdr:rowOff>
    </xdr:from>
    <xdr:to>
      <xdr:col>19</xdr:col>
      <xdr:colOff>801044</xdr:colOff>
      <xdr:row>43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0AAAFB-CD5A-6C48-B05A-C687B9F85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317500"/>
          <a:ext cx="15863244" cy="84455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urn_results.2020-09-08-14-42_1" connectionId="3" xr16:uid="{80246219-5AD6-7544-9965-6C3EA8D8B64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urn_results.2020-09-08-14-42" connectionId="1" xr16:uid="{68E6FA65-FC24-9F45-802F-25CC13701EC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urn_results.2020-09-08-14-42" connectionId="2" xr16:uid="{80C035D5-3662-244B-AF83-CC39D9A717C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urn_results.2020-09-08-14-42_1" connectionId="4" xr16:uid="{7A5F837F-2ECC-404D-AD4B-604424A10B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2286-FD21-D342-8F95-CAB5691D6639}">
  <dimension ref="A1:U77"/>
  <sheetViews>
    <sheetView zoomScale="75" zoomScaleNormal="75" workbookViewId="0">
      <selection activeCell="B32" sqref="B32"/>
    </sheetView>
  </sheetViews>
  <sheetFormatPr baseColWidth="10" defaultRowHeight="16" x14ac:dyDescent="0.2"/>
  <cols>
    <col min="2" max="2" width="11.1640625" style="2" bestFit="1" customWidth="1"/>
    <col min="3" max="3" width="21.1640625" style="2" bestFit="1" customWidth="1"/>
    <col min="4" max="4" width="6.83203125" style="2" customWidth="1"/>
    <col min="5" max="5" width="8.6640625" style="2" bestFit="1" customWidth="1"/>
    <col min="6" max="6" width="17.83203125" style="2" customWidth="1"/>
    <col min="7" max="7" width="13.5" style="2" bestFit="1" customWidth="1"/>
    <col min="8" max="8" width="13.33203125" style="2" bestFit="1" customWidth="1"/>
    <col min="9" max="9" width="16" style="2" customWidth="1"/>
    <col min="10" max="10" width="10.83203125" style="2"/>
    <col min="11" max="11" width="13.33203125" style="2" customWidth="1"/>
    <col min="12" max="12" width="16.33203125" style="2" customWidth="1"/>
    <col min="13" max="13" width="12" style="2" customWidth="1"/>
    <col min="14" max="14" width="10.1640625" style="2" bestFit="1" customWidth="1"/>
    <col min="15" max="15" width="12.6640625" style="2" bestFit="1" customWidth="1"/>
    <col min="18" max="18" width="11.1640625" customWidth="1"/>
  </cols>
  <sheetData>
    <row r="1" spans="1:18" x14ac:dyDescent="0.2">
      <c r="A1" s="6" t="s">
        <v>111</v>
      </c>
    </row>
    <row r="2" spans="1:18" x14ac:dyDescent="0.2">
      <c r="A2" t="s">
        <v>112</v>
      </c>
      <c r="B2" s="22"/>
      <c r="C2" s="22"/>
      <c r="D2" s="22" t="s">
        <v>63</v>
      </c>
      <c r="E2" s="22"/>
      <c r="F2" s="22" t="s">
        <v>115</v>
      </c>
      <c r="G2" s="22"/>
      <c r="H2" s="22"/>
      <c r="I2" s="22" t="s">
        <v>116</v>
      </c>
      <c r="K2" s="6" t="s">
        <v>169</v>
      </c>
      <c r="N2" s="6" t="s">
        <v>112</v>
      </c>
    </row>
    <row r="3" spans="1:18" x14ac:dyDescent="0.2">
      <c r="B3" s="22" t="s">
        <v>63</v>
      </c>
      <c r="C3" s="22" t="s">
        <v>64</v>
      </c>
      <c r="D3" s="22" t="s">
        <v>56</v>
      </c>
      <c r="E3" s="22" t="s">
        <v>133</v>
      </c>
      <c r="F3" s="22" t="s">
        <v>114</v>
      </c>
      <c r="G3" s="22" t="s">
        <v>73</v>
      </c>
      <c r="H3" s="22" t="s">
        <v>66</v>
      </c>
      <c r="I3" s="22" t="s">
        <v>117</v>
      </c>
      <c r="K3" s="35" t="b">
        <v>1</v>
      </c>
      <c r="L3" s="2" t="s">
        <v>187</v>
      </c>
      <c r="N3" s="35"/>
      <c r="O3" s="2" t="s">
        <v>150</v>
      </c>
      <c r="Q3" s="2"/>
    </row>
    <row r="4" spans="1:18" x14ac:dyDescent="0.2">
      <c r="B4" s="8">
        <v>0</v>
      </c>
      <c r="C4" s="33" t="s">
        <v>108</v>
      </c>
      <c r="D4" s="33">
        <v>1</v>
      </c>
      <c r="E4" s="33">
        <v>7</v>
      </c>
      <c r="F4" s="21">
        <f t="shared" ref="F4:F13" si="0">IF(C4="","",IF(SizeIncludesKey,ValueAndKeySize,ValueSizeAverage)*G4)</f>
        <v>22440000</v>
      </c>
      <c r="G4" s="21">
        <f t="shared" ref="G4:G13" si="1">IF(C4="","",IF(D5&gt;0,D4*G5,D4))</f>
        <v>120000</v>
      </c>
      <c r="H4" s="21">
        <f t="shared" ref="H4:H13" si="2">IF(C4="","",IF(B4=0,D4,H3*D4))</f>
        <v>1</v>
      </c>
      <c r="I4" s="21">
        <f t="shared" ref="I4:I13" si="3">IF(C4="","",H4*ClientPods)</f>
        <v>40</v>
      </c>
      <c r="N4" s="17"/>
      <c r="O4" s="2" t="s">
        <v>113</v>
      </c>
    </row>
    <row r="5" spans="1:18" x14ac:dyDescent="0.2">
      <c r="B5" s="8">
        <v>1</v>
      </c>
      <c r="C5" s="33" t="s">
        <v>109</v>
      </c>
      <c r="D5" s="33">
        <v>1</v>
      </c>
      <c r="E5" s="33">
        <v>14</v>
      </c>
      <c r="F5" s="21">
        <f t="shared" si="0"/>
        <v>22440000</v>
      </c>
      <c r="G5" s="21">
        <f t="shared" si="1"/>
        <v>120000</v>
      </c>
      <c r="H5" s="21">
        <f t="shared" si="2"/>
        <v>1</v>
      </c>
      <c r="I5" s="21">
        <f t="shared" si="3"/>
        <v>40</v>
      </c>
      <c r="N5" s="16"/>
      <c r="O5" s="2" t="s">
        <v>121</v>
      </c>
    </row>
    <row r="6" spans="1:18" x14ac:dyDescent="0.2">
      <c r="B6" s="8">
        <v>2</v>
      </c>
      <c r="C6" s="34" t="s">
        <v>124</v>
      </c>
      <c r="D6" s="33">
        <v>2</v>
      </c>
      <c r="E6" s="33">
        <v>14</v>
      </c>
      <c r="F6" s="21">
        <f t="shared" si="0"/>
        <v>22440000</v>
      </c>
      <c r="G6" s="21">
        <f t="shared" si="1"/>
        <v>120000</v>
      </c>
      <c r="H6" s="21">
        <f t="shared" si="2"/>
        <v>2</v>
      </c>
      <c r="I6" s="21">
        <f t="shared" si="3"/>
        <v>80</v>
      </c>
      <c r="N6" s="18"/>
      <c r="O6" s="2" t="s">
        <v>123</v>
      </c>
    </row>
    <row r="7" spans="1:18" x14ac:dyDescent="0.2">
      <c r="B7" s="8">
        <v>3</v>
      </c>
      <c r="C7" s="34" t="s">
        <v>125</v>
      </c>
      <c r="D7" s="33">
        <v>6</v>
      </c>
      <c r="E7" s="33">
        <v>12</v>
      </c>
      <c r="F7" s="21">
        <f t="shared" si="0"/>
        <v>11220000</v>
      </c>
      <c r="G7" s="21">
        <f t="shared" si="1"/>
        <v>60000</v>
      </c>
      <c r="H7" s="21">
        <f t="shared" si="2"/>
        <v>12</v>
      </c>
      <c r="I7" s="21">
        <f t="shared" si="3"/>
        <v>480</v>
      </c>
      <c r="N7" s="19"/>
      <c r="O7" s="2" t="s">
        <v>122</v>
      </c>
    </row>
    <row r="8" spans="1:18" ht="17" customHeight="1" x14ac:dyDescent="0.2">
      <c r="B8" s="8">
        <v>4</v>
      </c>
      <c r="C8" s="34" t="s">
        <v>126</v>
      </c>
      <c r="D8" s="33">
        <v>2</v>
      </c>
      <c r="E8" s="33">
        <v>12</v>
      </c>
      <c r="F8" s="21">
        <f t="shared" si="0"/>
        <v>1870000</v>
      </c>
      <c r="G8" s="21">
        <f t="shared" si="1"/>
        <v>10000</v>
      </c>
      <c r="H8" s="21">
        <f t="shared" si="2"/>
        <v>24</v>
      </c>
      <c r="I8" s="21">
        <f t="shared" si="3"/>
        <v>960</v>
      </c>
      <c r="N8" s="31"/>
      <c r="O8" s="2" t="s">
        <v>140</v>
      </c>
    </row>
    <row r="9" spans="1:18" x14ac:dyDescent="0.2">
      <c r="B9" s="8">
        <v>5</v>
      </c>
      <c r="C9" s="34" t="s">
        <v>127</v>
      </c>
      <c r="D9" s="33">
        <v>100</v>
      </c>
      <c r="E9" s="33">
        <v>48</v>
      </c>
      <c r="F9" s="21">
        <f t="shared" si="0"/>
        <v>935000</v>
      </c>
      <c r="G9" s="21">
        <f t="shared" si="1"/>
        <v>5000</v>
      </c>
      <c r="H9" s="21">
        <f t="shared" si="2"/>
        <v>2400</v>
      </c>
      <c r="I9" s="21">
        <f t="shared" si="3"/>
        <v>96000</v>
      </c>
      <c r="N9" s="13"/>
      <c r="O9" s="2" t="s">
        <v>141</v>
      </c>
    </row>
    <row r="10" spans="1:18" x14ac:dyDescent="0.2">
      <c r="B10" s="8">
        <v>6</v>
      </c>
      <c r="C10" s="34" t="s">
        <v>128</v>
      </c>
      <c r="D10" s="33">
        <v>10</v>
      </c>
      <c r="E10" s="33">
        <v>48</v>
      </c>
      <c r="F10" s="21">
        <f t="shared" si="0"/>
        <v>9350</v>
      </c>
      <c r="G10" s="21">
        <f t="shared" si="1"/>
        <v>50</v>
      </c>
      <c r="H10" s="21">
        <f t="shared" si="2"/>
        <v>24000</v>
      </c>
      <c r="I10" s="21">
        <f t="shared" si="3"/>
        <v>960000</v>
      </c>
    </row>
    <row r="11" spans="1:18" x14ac:dyDescent="0.2">
      <c r="B11" s="8">
        <v>7</v>
      </c>
      <c r="C11" s="34" t="s">
        <v>129</v>
      </c>
      <c r="D11" s="33">
        <v>5</v>
      </c>
      <c r="E11" s="33">
        <v>12</v>
      </c>
      <c r="F11" s="21">
        <f t="shared" si="0"/>
        <v>935</v>
      </c>
      <c r="G11" s="21">
        <f>IF(C11="","",IF(D12&gt;0,D11*G12,D11))</f>
        <v>5</v>
      </c>
      <c r="H11" s="21">
        <f t="shared" si="2"/>
        <v>120000</v>
      </c>
      <c r="I11" s="21">
        <f t="shared" si="3"/>
        <v>4800000</v>
      </c>
      <c r="K11" s="6" t="s">
        <v>144</v>
      </c>
    </row>
    <row r="12" spans="1:18" x14ac:dyDescent="0.2">
      <c r="B12" s="8">
        <v>8</v>
      </c>
      <c r="C12" s="34"/>
      <c r="D12" s="33"/>
      <c r="E12" s="33"/>
      <c r="F12" s="21" t="str">
        <f t="shared" si="0"/>
        <v/>
      </c>
      <c r="G12" s="21" t="str">
        <f t="shared" si="1"/>
        <v/>
      </c>
      <c r="H12" s="21" t="str">
        <f t="shared" si="2"/>
        <v/>
      </c>
      <c r="I12" s="21" t="str">
        <f t="shared" si="3"/>
        <v/>
      </c>
      <c r="K12" s="8" t="s">
        <v>72</v>
      </c>
      <c r="L12" s="8" t="s">
        <v>147</v>
      </c>
      <c r="M12" s="8" t="s">
        <v>146</v>
      </c>
    </row>
    <row r="13" spans="1:18" x14ac:dyDescent="0.2">
      <c r="B13" s="8">
        <v>9</v>
      </c>
      <c r="C13" s="34"/>
      <c r="D13" s="33"/>
      <c r="E13" s="33"/>
      <c r="F13" s="21" t="str">
        <f t="shared" si="0"/>
        <v/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K13" s="37">
        <v>5</v>
      </c>
      <c r="L13" s="21"/>
      <c r="M13" s="8" t="s">
        <v>145</v>
      </c>
    </row>
    <row r="14" spans="1:18" ht="17" x14ac:dyDescent="0.2">
      <c r="A14" t="s">
        <v>72</v>
      </c>
      <c r="C14" s="4"/>
      <c r="H14" s="22" t="s">
        <v>119</v>
      </c>
      <c r="I14" s="22" t="s">
        <v>120</v>
      </c>
      <c r="K14" s="40">
        <v>14361828</v>
      </c>
      <c r="L14" s="21">
        <f>K14/MAX(H4:H13)</f>
        <v>119.6819</v>
      </c>
      <c r="M14" s="8" t="s">
        <v>65</v>
      </c>
      <c r="R14" s="2"/>
    </row>
    <row r="15" spans="1:18" x14ac:dyDescent="0.2">
      <c r="B15" s="8" t="s">
        <v>72</v>
      </c>
      <c r="C15" s="36" t="s">
        <v>188</v>
      </c>
      <c r="D15" s="8"/>
      <c r="E15" s="37">
        <v>20</v>
      </c>
      <c r="H15" s="21">
        <f>ValueSizeAverage*MAX(H$4:H$13)/1024/1024</f>
        <v>2.288818359375</v>
      </c>
      <c r="I15" s="21">
        <f>H15*ClientPods</f>
        <v>91.552734375</v>
      </c>
      <c r="K15" s="41" t="s">
        <v>149</v>
      </c>
      <c r="L15" s="21"/>
      <c r="M15" s="8" t="s">
        <v>148</v>
      </c>
    </row>
    <row r="16" spans="1:18" x14ac:dyDescent="0.2">
      <c r="B16" s="8" t="s">
        <v>118</v>
      </c>
      <c r="C16" s="8"/>
      <c r="D16" s="8"/>
      <c r="E16" s="21">
        <f>SUM(E4:E15)</f>
        <v>187</v>
      </c>
      <c r="H16" s="21">
        <f>ValueAndKeySize*MAX(H$4:H$13)/1024/1024</f>
        <v>21.40045166015625</v>
      </c>
      <c r="I16" s="21">
        <f>H16*ClientPods</f>
        <v>856.01806640625</v>
      </c>
      <c r="K16" s="37">
        <v>88</v>
      </c>
      <c r="L16" s="21">
        <f>K16/I45</f>
        <v>39.378495960223738</v>
      </c>
      <c r="M16" s="73" t="s">
        <v>153</v>
      </c>
      <c r="R16">
        <f>2</f>
        <v>2</v>
      </c>
    </row>
    <row r="17" spans="1:19" x14ac:dyDescent="0.2">
      <c r="B17" s="8" t="s">
        <v>112</v>
      </c>
      <c r="C17" s="8"/>
      <c r="D17" s="8"/>
      <c r="E17" s="21">
        <f>SUM(E4:E14)</f>
        <v>167</v>
      </c>
      <c r="F17" s="14"/>
      <c r="H17" s="21">
        <f>KeySize*MAX(H$4:H$13)/1024/1024</f>
        <v>19.11163330078125</v>
      </c>
      <c r="I17" s="21">
        <f>H17*ClientPods</f>
        <v>764.46533203125</v>
      </c>
      <c r="K17" s="37"/>
      <c r="L17" s="21">
        <f>K17/I48</f>
        <v>0</v>
      </c>
      <c r="M17" s="73" t="s">
        <v>152</v>
      </c>
    </row>
    <row r="18" spans="1:19" x14ac:dyDescent="0.2">
      <c r="B18" s="8" t="s">
        <v>192</v>
      </c>
      <c r="C18" s="8"/>
      <c r="D18" s="8"/>
      <c r="E18" s="118">
        <f>ValueAndKeySize/ValueSizeAverage</f>
        <v>9.35</v>
      </c>
      <c r="K18" s="37">
        <v>5000</v>
      </c>
      <c r="L18" s="21" t="s">
        <v>194</v>
      </c>
      <c r="M18" s="73" t="s">
        <v>151</v>
      </c>
    </row>
    <row r="19" spans="1:19" x14ac:dyDescent="0.2">
      <c r="B19" s="8" t="s">
        <v>205</v>
      </c>
      <c r="C19" s="8"/>
      <c r="D19" s="8"/>
      <c r="E19" s="8">
        <f>COUNT(E4:E14)-1</f>
        <v>7</v>
      </c>
      <c r="K19" s="37">
        <v>172</v>
      </c>
      <c r="L19" s="21">
        <f>K9/I50</f>
        <v>0</v>
      </c>
      <c r="M19" s="73" t="s">
        <v>193</v>
      </c>
    </row>
    <row r="20" spans="1:19" x14ac:dyDescent="0.2">
      <c r="K20" s="37">
        <v>4000</v>
      </c>
      <c r="L20" s="21">
        <f>K20/G37</f>
        <v>40</v>
      </c>
      <c r="M20" s="2" t="s">
        <v>157</v>
      </c>
    </row>
    <row r="21" spans="1:19" x14ac:dyDescent="0.2">
      <c r="A21" s="2" t="s">
        <v>64</v>
      </c>
      <c r="B21" s="20" t="str">
        <f>_xlfn.CONCAT(IF(D4&lt;=1,C4,_xlfn.CONCAT(C4,"[",D4,"]")),IF(D5&lt;=1,C5,_xlfn.CONCAT(C5,"[",D5,"]")),IF(D6&lt;=1,C6,_xlfn.CONCAT(C6,"[",D6,"]")),IF(D7&lt;=1,C7,_xlfn.CONCAT(C7,"[",D7,"]")),IF(D7&lt;=1,C8,_xlfn.CONCAT(C8,"[",D8,"]")),IF(D9&lt;=1,C9,_xlfn.CONCAT(C9,"[",D9, "]")),IF(D10&lt;=1,C10,_xlfn.CONCAT(C10,"[",D10,"]")),IF(D11&lt;=1,C11,_xlfn.CONCAT(C11,"[",D11,"]")),IF(D12&lt;=1,C12,_xlfn.CONCAT(C12,"[",D12,"]")),IF(D13&lt;=1,C13,_xlfn.CONCAT(C13,"[",D13,"]")),";",C15)</f>
        <v>/prefix/:ip/%level2-%06d[2]/%level3-%04d[6]/%level4-%04d[2]/%level5-%040d[100]/%level6-%040d[10]/%leaf7-%06d[5];[0-9]{10,30}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9" x14ac:dyDescent="0.2">
      <c r="A22" s="2" t="s">
        <v>110</v>
      </c>
    </row>
    <row r="23" spans="1:19" ht="17" customHeight="1" thickBot="1" x14ac:dyDescent="0.25"/>
    <row r="24" spans="1:19" x14ac:dyDescent="0.2">
      <c r="A24" s="5" t="s">
        <v>158</v>
      </c>
      <c r="E24" s="6"/>
      <c r="F24" s="6"/>
      <c r="G24" s="50" t="s">
        <v>155</v>
      </c>
      <c r="H24" s="51"/>
      <c r="I24" s="51"/>
      <c r="J24" s="51"/>
      <c r="K24" s="51"/>
      <c r="L24" s="52"/>
      <c r="M24" s="50" t="s">
        <v>154</v>
      </c>
      <c r="N24" s="51"/>
      <c r="O24" s="51"/>
      <c r="P24" s="52"/>
      <c r="Q24" s="5"/>
    </row>
    <row r="25" spans="1:19" x14ac:dyDescent="0.2">
      <c r="B25" s="22" t="s">
        <v>72</v>
      </c>
      <c r="C25" s="22" t="s">
        <v>136</v>
      </c>
      <c r="D25" s="6"/>
      <c r="E25" s="22" t="s">
        <v>142</v>
      </c>
      <c r="F25" s="42"/>
      <c r="G25" s="53" t="s">
        <v>102</v>
      </c>
      <c r="H25" s="22" t="s">
        <v>70</v>
      </c>
      <c r="I25" s="22" t="s">
        <v>100</v>
      </c>
      <c r="J25" s="22" t="s">
        <v>135</v>
      </c>
      <c r="K25" s="22" t="s">
        <v>90</v>
      </c>
      <c r="L25" s="54" t="s">
        <v>103</v>
      </c>
      <c r="M25" s="53" t="s">
        <v>100</v>
      </c>
      <c r="N25" s="22" t="s">
        <v>104</v>
      </c>
      <c r="O25" s="22" t="s">
        <v>105</v>
      </c>
      <c r="P25" s="54" t="s">
        <v>106</v>
      </c>
      <c r="Q25" s="46"/>
      <c r="R25" s="2"/>
      <c r="S25" s="2"/>
    </row>
    <row r="26" spans="1:19" x14ac:dyDescent="0.2">
      <c r="A26" t="s">
        <v>137</v>
      </c>
      <c r="B26" s="122">
        <v>40</v>
      </c>
      <c r="C26" s="8" t="s">
        <v>62</v>
      </c>
      <c r="E26" s="23">
        <f>E27/60</f>
        <v>125</v>
      </c>
      <c r="F26" s="43" t="s">
        <v>71</v>
      </c>
      <c r="G26" s="108">
        <f>E26</f>
        <v>125</v>
      </c>
      <c r="H26" s="24">
        <f>VLOOKUP(B27,B3:I13,6)/VLOOKUP(B27,B3:I13,3)</f>
        <v>1</v>
      </c>
      <c r="I26" s="24"/>
      <c r="J26" s="24"/>
      <c r="K26" s="24">
        <f>$G26*H26*IF(SizeIncludesKey,ValueAndKeySize,ValueSizeAverage)/1024</f>
        <v>22.8271484375</v>
      </c>
      <c r="L26" s="56">
        <f>$G26*H26</f>
        <v>125</v>
      </c>
      <c r="M26" s="55"/>
      <c r="N26" s="24">
        <f>L26*ClientPods</f>
        <v>5000</v>
      </c>
      <c r="O26" s="24">
        <f>K26*ClientPods</f>
        <v>913.0859375</v>
      </c>
      <c r="P26" s="56"/>
      <c r="Q26" s="47" t="s">
        <v>74</v>
      </c>
      <c r="R26" s="2"/>
      <c r="S26" s="2"/>
    </row>
    <row r="27" spans="1:19" x14ac:dyDescent="0.2">
      <c r="B27" s="37">
        <v>7</v>
      </c>
      <c r="C27" s="8" t="s">
        <v>67</v>
      </c>
      <c r="E27" s="23">
        <f>IF(GetLevel=Levels,B28/60,0)</f>
        <v>7500</v>
      </c>
      <c r="F27" s="44" t="s">
        <v>80</v>
      </c>
      <c r="G27" s="109">
        <f>E27</f>
        <v>7500</v>
      </c>
      <c r="H27" s="25">
        <f>H26</f>
        <v>1</v>
      </c>
      <c r="I27" s="25"/>
      <c r="J27" s="25"/>
      <c r="K27" s="25">
        <f>$G27*H27*IF(SizeIncludesKey,ValueAndKeySize,ValueSizeAverage)/1024</f>
        <v>1369.62890625</v>
      </c>
      <c r="L27" s="58">
        <f>$G27*H27</f>
        <v>7500</v>
      </c>
      <c r="M27" s="57"/>
      <c r="N27" s="25">
        <f>L27*ClientPods</f>
        <v>300000</v>
      </c>
      <c r="O27" s="25">
        <f>K27*ClientPods</f>
        <v>54785.15625</v>
      </c>
      <c r="P27" s="58"/>
      <c r="Q27" s="48" t="s">
        <v>74</v>
      </c>
      <c r="R27" s="2"/>
      <c r="S27" s="2"/>
    </row>
    <row r="28" spans="1:19" x14ac:dyDescent="0.2">
      <c r="B28" s="21">
        <f>(K18*60*60)/ClientPods</f>
        <v>450000</v>
      </c>
      <c r="C28" s="8" t="s">
        <v>131</v>
      </c>
      <c r="E28" s="23">
        <f>E29/60</f>
        <v>0</v>
      </c>
      <c r="F28" s="43" t="s">
        <v>203</v>
      </c>
      <c r="G28" s="108">
        <f>E28</f>
        <v>0</v>
      </c>
      <c r="H28" s="24">
        <f>VLOOKUP(B27,B3:I13,6)/VLOOKUP(B27,B3:I13,3)</f>
        <v>1</v>
      </c>
      <c r="I28" s="24"/>
      <c r="J28" s="24"/>
      <c r="K28" s="24">
        <f>$G28*H28*IF(SizeIncludesKey,ValueAndKeySize,ValueSizeAverage)/1024</f>
        <v>0</v>
      </c>
      <c r="L28" s="56">
        <f>$G28*H28</f>
        <v>0</v>
      </c>
      <c r="M28" s="55"/>
      <c r="N28" s="24">
        <f>L28*ClientPods</f>
        <v>0</v>
      </c>
      <c r="O28" s="24">
        <f>K28*ClientPods</f>
        <v>0</v>
      </c>
      <c r="P28" s="56"/>
      <c r="Q28" s="47" t="s">
        <v>74</v>
      </c>
      <c r="R28" s="2"/>
      <c r="S28" s="2"/>
    </row>
    <row r="29" spans="1:19" x14ac:dyDescent="0.2">
      <c r="B29" s="8"/>
      <c r="C29" s="8"/>
      <c r="E29" s="23">
        <f>IF(GetLevel&lt;&gt;Levels,B28/60,0)</f>
        <v>0</v>
      </c>
      <c r="F29" s="44" t="s">
        <v>204</v>
      </c>
      <c r="G29" s="109">
        <f>E29</f>
        <v>0</v>
      </c>
      <c r="H29" s="25">
        <f>H28</f>
        <v>1</v>
      </c>
      <c r="I29" s="25"/>
      <c r="J29" s="25"/>
      <c r="K29" s="25">
        <f>$G29*H29*IF(SizeIncludesKey,ValueAndKeySize,ValueSizeAverage)/1024</f>
        <v>0</v>
      </c>
      <c r="L29" s="58">
        <f>$G29*H29</f>
        <v>0</v>
      </c>
      <c r="M29" s="57"/>
      <c r="N29" s="25">
        <f>L29*ClientPods</f>
        <v>0</v>
      </c>
      <c r="O29" s="25">
        <f>K29*ClientPods</f>
        <v>0</v>
      </c>
      <c r="P29" s="58"/>
      <c r="Q29" s="48" t="s">
        <v>74</v>
      </c>
      <c r="R29" s="2"/>
      <c r="S29" s="2"/>
    </row>
    <row r="30" spans="1:19" x14ac:dyDescent="0.2">
      <c r="A30" t="s">
        <v>138</v>
      </c>
      <c r="B30" s="37">
        <v>5</v>
      </c>
      <c r="C30" s="8" t="s">
        <v>68</v>
      </c>
      <c r="E30" s="8"/>
      <c r="F30" s="45"/>
      <c r="G30" s="110"/>
      <c r="H30" s="26">
        <f>VLOOKUP(B30,B3:I13,6)/VLOOKUP(B30,B3:I13,3)</f>
        <v>50</v>
      </c>
      <c r="I30" s="8"/>
      <c r="J30" s="8"/>
      <c r="K30" s="26">
        <f>H30*IF(SizeIncludesKey,ValueAndKeySize,ValueSizeAverage)/1024</f>
        <v>9.130859375</v>
      </c>
      <c r="L30" s="60"/>
      <c r="M30" s="59"/>
      <c r="N30" s="8"/>
      <c r="O30" s="8"/>
      <c r="P30" s="60"/>
      <c r="Q30" s="49"/>
      <c r="R30" s="2"/>
      <c r="S30" s="2"/>
    </row>
    <row r="31" spans="1:19" x14ac:dyDescent="0.2">
      <c r="B31" s="38">
        <v>0.05</v>
      </c>
      <c r="C31" s="8" t="s">
        <v>69</v>
      </c>
      <c r="E31" s="23">
        <f>E33/60/2</f>
        <v>3.4722222222222224E-2</v>
      </c>
      <c r="F31" s="43" t="s">
        <v>83</v>
      </c>
      <c r="G31" s="108">
        <f>E31</f>
        <v>3.4722222222222224E-2</v>
      </c>
      <c r="H31" s="24">
        <f>H30</f>
        <v>50</v>
      </c>
      <c r="I31" s="24"/>
      <c r="J31" s="24"/>
      <c r="K31" s="24"/>
      <c r="L31" s="56">
        <f>$G31*H31</f>
        <v>1.7361111111111112</v>
      </c>
      <c r="M31" s="55"/>
      <c r="N31" s="24">
        <f t="shared" ref="N31:N36" si="4">L31*ClientPods</f>
        <v>69.444444444444443</v>
      </c>
      <c r="O31" s="24"/>
      <c r="P31" s="56"/>
      <c r="Q31" s="47" t="s">
        <v>75</v>
      </c>
      <c r="R31" s="2"/>
      <c r="S31" s="2"/>
    </row>
    <row r="32" spans="1:19" x14ac:dyDescent="0.2">
      <c r="B32" s="39">
        <v>250</v>
      </c>
      <c r="C32" s="8" t="s">
        <v>130</v>
      </c>
      <c r="E32" s="23">
        <f>E33/60/2</f>
        <v>3.4722222222222224E-2</v>
      </c>
      <c r="F32" s="43" t="s">
        <v>85</v>
      </c>
      <c r="G32" s="108">
        <f>E32*H32</f>
        <v>3.4722222222222224E-2</v>
      </c>
      <c r="H32" s="24">
        <v>1</v>
      </c>
      <c r="I32" s="24"/>
      <c r="J32" s="24"/>
      <c r="K32" s="24">
        <f>H32*IF(SizeIncludesKey,ValueAndKeySize,ValueSizeAverage)/1024</f>
        <v>0.1826171875</v>
      </c>
      <c r="L32" s="56">
        <f>H32*G32</f>
        <v>3.4722222222222224E-2</v>
      </c>
      <c r="M32" s="55"/>
      <c r="N32" s="24">
        <f t="shared" si="4"/>
        <v>1.3888888888888888</v>
      </c>
      <c r="O32" s="24">
        <f>K32*ClientPods</f>
        <v>7.3046875</v>
      </c>
      <c r="P32" s="56"/>
      <c r="Q32" s="47" t="s">
        <v>76</v>
      </c>
      <c r="R32" s="2"/>
      <c r="S32" s="2"/>
    </row>
    <row r="33" spans="1:21" x14ac:dyDescent="0.2">
      <c r="B33" s="8"/>
      <c r="C33" s="7"/>
      <c r="E33" s="23">
        <f>B32/60</f>
        <v>4.166666666666667</v>
      </c>
      <c r="F33" s="44" t="s">
        <v>86</v>
      </c>
      <c r="G33" s="109">
        <f>E33/2</f>
        <v>2.0833333333333335</v>
      </c>
      <c r="H33" s="25">
        <f>H30</f>
        <v>50</v>
      </c>
      <c r="I33" s="25"/>
      <c r="J33" s="25"/>
      <c r="K33" s="25">
        <v>0</v>
      </c>
      <c r="L33" s="58">
        <f>H33*G33</f>
        <v>104.16666666666667</v>
      </c>
      <c r="M33" s="57"/>
      <c r="N33" s="25">
        <f t="shared" si="4"/>
        <v>4166.666666666667</v>
      </c>
      <c r="O33" s="25">
        <f>K33*ClientPods</f>
        <v>0</v>
      </c>
      <c r="P33" s="58"/>
      <c r="Q33" s="48" t="s">
        <v>75</v>
      </c>
      <c r="R33" s="2" t="s">
        <v>87</v>
      </c>
    </row>
    <row r="34" spans="1:21" x14ac:dyDescent="0.2">
      <c r="B34" s="8"/>
      <c r="C34" s="7"/>
      <c r="E34" s="23"/>
      <c r="F34" s="44"/>
      <c r="G34" s="109">
        <f>E33/2</f>
        <v>2.0833333333333335</v>
      </c>
      <c r="H34" s="25">
        <f>H30</f>
        <v>50</v>
      </c>
      <c r="I34" s="25"/>
      <c r="J34" s="25"/>
      <c r="K34" s="25">
        <f>$G34*H34*IF(SizeIncludesKey,ValueAndKeySize,ValueSizeAverage)/1024</f>
        <v>19.022623697916668</v>
      </c>
      <c r="L34" s="58">
        <f>H34*G34</f>
        <v>104.16666666666667</v>
      </c>
      <c r="M34" s="57"/>
      <c r="N34" s="25">
        <f t="shared" si="4"/>
        <v>4166.666666666667</v>
      </c>
      <c r="O34" s="25">
        <f>K34*ClientPods</f>
        <v>760.90494791666674</v>
      </c>
      <c r="P34" s="58"/>
      <c r="Q34" s="48" t="s">
        <v>76</v>
      </c>
      <c r="R34" s="2" t="s">
        <v>88</v>
      </c>
    </row>
    <row r="35" spans="1:21" x14ac:dyDescent="0.2">
      <c r="A35" t="s">
        <v>139</v>
      </c>
      <c r="B35" s="21">
        <f>K16/ClientPods*60*60</f>
        <v>7920</v>
      </c>
      <c r="C35" s="8" t="s">
        <v>132</v>
      </c>
      <c r="E35" s="23">
        <f>E36/60</f>
        <v>2.2000000000000002</v>
      </c>
      <c r="F35" s="43" t="s">
        <v>82</v>
      </c>
      <c r="G35" s="108">
        <f>E35</f>
        <v>2.2000000000000002</v>
      </c>
      <c r="H35" s="24">
        <v>1</v>
      </c>
      <c r="I35" s="24"/>
      <c r="J35" s="24"/>
      <c r="K35" s="24">
        <f>$E35*$E16/1024</f>
        <v>0.40175781250000003</v>
      </c>
      <c r="L35" s="56">
        <f>G35*H35</f>
        <v>2.2000000000000002</v>
      </c>
      <c r="M35" s="55"/>
      <c r="N35" s="24">
        <f t="shared" si="4"/>
        <v>88</v>
      </c>
      <c r="O35" s="24">
        <f>K35*ClientPods</f>
        <v>16.0703125</v>
      </c>
      <c r="P35" s="56"/>
      <c r="Q35" s="47" t="s">
        <v>76</v>
      </c>
      <c r="R35" s="2"/>
      <c r="S35" s="2"/>
    </row>
    <row r="36" spans="1:21" ht="17" thickBot="1" x14ac:dyDescent="0.25">
      <c r="B36" s="8"/>
      <c r="C36" s="7"/>
      <c r="E36" s="23">
        <f>B35/60</f>
        <v>132</v>
      </c>
      <c r="F36" s="44" t="s">
        <v>81</v>
      </c>
      <c r="G36" s="111">
        <f>E36</f>
        <v>132</v>
      </c>
      <c r="H36" s="62">
        <v>2</v>
      </c>
      <c r="I36" s="62"/>
      <c r="J36" s="62"/>
      <c r="K36" s="62">
        <f>$G36*H36*IF(SizeIncludesKey,ValueAndKeySize,ValueSizeAverage)/1024</f>
        <v>48.2109375</v>
      </c>
      <c r="L36" s="63">
        <f>G36*H36</f>
        <v>264</v>
      </c>
      <c r="M36" s="61"/>
      <c r="N36" s="62">
        <f t="shared" si="4"/>
        <v>10560</v>
      </c>
      <c r="O36" s="62">
        <f>K36*ClientPods</f>
        <v>1928.4375</v>
      </c>
      <c r="P36" s="63"/>
      <c r="Q36" s="48" t="s">
        <v>76</v>
      </c>
      <c r="R36" s="2"/>
      <c r="S36" s="2"/>
    </row>
    <row r="37" spans="1:21" x14ac:dyDescent="0.2">
      <c r="A37" t="s">
        <v>174</v>
      </c>
      <c r="B37" s="39" t="s">
        <v>167</v>
      </c>
      <c r="C37" s="8" t="s">
        <v>159</v>
      </c>
      <c r="E37" s="8"/>
      <c r="F37" s="45" t="s">
        <v>177</v>
      </c>
      <c r="G37" s="59">
        <f>IF(ISNUMBER(WatchLevel),IF(WatchCount="n",VLOOKUP(B39,B3:I13,7),MIN(WatchCount,VLOOKUP(B39,B3:I13,7))),0)</f>
        <v>100</v>
      </c>
      <c r="H37" s="26"/>
      <c r="I37" s="8"/>
      <c r="J37" s="8"/>
      <c r="K37" s="26"/>
      <c r="L37" s="60"/>
      <c r="M37" s="59">
        <f>G37*ClientPods</f>
        <v>4000</v>
      </c>
      <c r="N37" s="8"/>
      <c r="O37" s="8"/>
      <c r="P37" s="60"/>
      <c r="Q37" s="49"/>
      <c r="R37" s="2"/>
      <c r="S37" s="2"/>
    </row>
    <row r="38" spans="1:21" x14ac:dyDescent="0.2">
      <c r="B38" s="120">
        <v>0.5</v>
      </c>
      <c r="C38" s="8" t="s">
        <v>176</v>
      </c>
      <c r="E38" s="23">
        <f>E39/60</f>
        <v>2.2000000000000002</v>
      </c>
      <c r="F38" s="43" t="s">
        <v>178</v>
      </c>
      <c r="G38" s="108">
        <f>E38</f>
        <v>2.2000000000000002</v>
      </c>
      <c r="H38" s="24"/>
      <c r="I38" s="24"/>
      <c r="J38" s="24"/>
      <c r="K38" s="24"/>
      <c r="L38" s="56"/>
      <c r="M38" s="55"/>
      <c r="N38" s="24"/>
      <c r="O38" s="24"/>
      <c r="P38" s="56"/>
      <c r="Q38" s="47"/>
      <c r="R38" s="2"/>
      <c r="S38" s="2"/>
    </row>
    <row r="39" spans="1:21" x14ac:dyDescent="0.2">
      <c r="B39" s="119">
        <v>6</v>
      </c>
      <c r="C39" s="26" t="s">
        <v>175</v>
      </c>
      <c r="E39" s="23">
        <f>IF(ISNUMBER(WatchLevel),E36,0)</f>
        <v>132</v>
      </c>
      <c r="F39" s="44" t="s">
        <v>179</v>
      </c>
      <c r="G39" s="109">
        <f>E39</f>
        <v>132</v>
      </c>
      <c r="H39" s="25"/>
      <c r="I39" s="25"/>
      <c r="J39" s="25"/>
      <c r="K39" s="25"/>
      <c r="L39" s="58"/>
      <c r="M39" s="57"/>
      <c r="N39" s="25"/>
      <c r="O39" s="25"/>
      <c r="P39" s="58"/>
      <c r="Q39" s="48"/>
      <c r="R39" s="2"/>
      <c r="S39" s="2"/>
    </row>
    <row r="40" spans="1:21" x14ac:dyDescent="0.2">
      <c r="B40" s="21">
        <f>K20/ClientPods</f>
        <v>100</v>
      </c>
      <c r="C40" s="26" t="s">
        <v>182</v>
      </c>
      <c r="E40" s="23">
        <f>E41/60</f>
        <v>3.3333333333333335</v>
      </c>
      <c r="F40" s="43" t="s">
        <v>180</v>
      </c>
      <c r="G40" s="108">
        <f>E40</f>
        <v>3.3333333333333335</v>
      </c>
      <c r="H40" s="24">
        <f>IF(ISNUMBER(WatchLevel),VLOOKUP(WatchLevel,B3:I13,6)/VLOOKUP(WatchLevel,B3:I13,3),0)</f>
        <v>5</v>
      </c>
      <c r="I40" s="24"/>
      <c r="J40" s="24"/>
      <c r="K40" s="24">
        <f>$G40*H40*IF(SizeIncludesKey,ValueAndKeySize,ValueSizeAverage)/1024</f>
        <v>3.043619791666667</v>
      </c>
      <c r="L40" s="56">
        <f>$G40*H40</f>
        <v>16.666666666666668</v>
      </c>
      <c r="M40" s="55"/>
      <c r="N40" s="24">
        <f>L40*ClientPods</f>
        <v>666.66666666666674</v>
      </c>
      <c r="O40" s="24">
        <f>K40*ClientPods</f>
        <v>121.74479166666669</v>
      </c>
      <c r="P40" s="56"/>
      <c r="Q40" s="47" t="s">
        <v>74</v>
      </c>
      <c r="R40" s="2"/>
      <c r="S40" s="2"/>
    </row>
    <row r="41" spans="1:21" x14ac:dyDescent="0.2">
      <c r="B41" s="91"/>
      <c r="C41" s="75"/>
      <c r="E41" s="23">
        <f>IF(WatchPrefixGetInterval&gt;0,G37/WatchPrefixGetInterval)</f>
        <v>200</v>
      </c>
      <c r="F41" s="44" t="s">
        <v>181</v>
      </c>
      <c r="G41" s="109">
        <f>E41</f>
        <v>200</v>
      </c>
      <c r="H41" s="25">
        <f>H40</f>
        <v>5</v>
      </c>
      <c r="I41" s="25"/>
      <c r="J41" s="25"/>
      <c r="K41" s="25">
        <f>$G41*H41*IF(SizeIncludesKey,ValueAndKeySize,ValueSizeAverage)/1024</f>
        <v>182.6171875</v>
      </c>
      <c r="L41" s="58">
        <f>$G41*H41</f>
        <v>1000</v>
      </c>
      <c r="M41" s="57"/>
      <c r="N41" s="25">
        <f>L41*ClientPods</f>
        <v>40000</v>
      </c>
      <c r="O41" s="25">
        <f>K41*ClientPods</f>
        <v>7304.6875</v>
      </c>
      <c r="P41" s="58"/>
      <c r="Q41" s="48" t="s">
        <v>74</v>
      </c>
      <c r="R41" s="2"/>
      <c r="S41" s="2"/>
    </row>
    <row r="42" spans="1:21" x14ac:dyDescent="0.2">
      <c r="A42" t="s">
        <v>214</v>
      </c>
      <c r="B42" s="21">
        <f>1/PutMeanSeconds*60*60/2</f>
        <v>244316.25381744147</v>
      </c>
      <c r="C42" s="8" t="s">
        <v>215</v>
      </c>
      <c r="P42" s="2"/>
      <c r="R42" s="2"/>
      <c r="S42" s="2"/>
    </row>
    <row r="43" spans="1:21" ht="17" thickBot="1" x14ac:dyDescent="0.25">
      <c r="B43" s="90"/>
      <c r="C43"/>
      <c r="P43" s="2"/>
      <c r="R43" s="6" t="s">
        <v>183</v>
      </c>
      <c r="S43" s="6"/>
      <c r="T43" s="5" t="s">
        <v>186</v>
      </c>
    </row>
    <row r="44" spans="1:21" x14ac:dyDescent="0.2">
      <c r="A44" s="5" t="s">
        <v>156</v>
      </c>
      <c r="C44"/>
      <c r="F44" s="42"/>
      <c r="G44" s="67"/>
      <c r="H44" s="68"/>
      <c r="I44" s="68" t="s">
        <v>100</v>
      </c>
      <c r="J44" s="68" t="s">
        <v>135</v>
      </c>
      <c r="K44" s="68" t="s">
        <v>90</v>
      </c>
      <c r="L44" s="69" t="s">
        <v>103</v>
      </c>
      <c r="M44" s="67" t="s">
        <v>100</v>
      </c>
      <c r="N44" s="68" t="s">
        <v>104</v>
      </c>
      <c r="O44" s="68" t="s">
        <v>105</v>
      </c>
      <c r="P44" s="69" t="s">
        <v>106</v>
      </c>
      <c r="Q44" s="74"/>
      <c r="R44" s="97" t="s">
        <v>184</v>
      </c>
      <c r="S44" s="22" t="s">
        <v>185</v>
      </c>
      <c r="T44" s="97" t="s">
        <v>184</v>
      </c>
      <c r="U44" s="22" t="s">
        <v>185</v>
      </c>
    </row>
    <row r="45" spans="1:21" x14ac:dyDescent="0.2">
      <c r="C45"/>
      <c r="E45" s="6" t="s">
        <v>77</v>
      </c>
      <c r="F45" s="64" t="s">
        <v>91</v>
      </c>
      <c r="G45" s="55"/>
      <c r="H45" s="24"/>
      <c r="I45" s="113">
        <f>G35+G31</f>
        <v>2.2347222222222225</v>
      </c>
      <c r="J45" s="27">
        <f>I45*PutMeanSeconds</f>
        <v>1.6464315972222223E-2</v>
      </c>
      <c r="K45" s="24">
        <f>K32+K35</f>
        <v>0.58437500000000009</v>
      </c>
      <c r="L45" s="56">
        <f>L32+L35</f>
        <v>2.2347222222222225</v>
      </c>
      <c r="M45" s="104">
        <f t="shared" ref="M45:M51" si="5">I45*ClientPods</f>
        <v>89.3888888888889</v>
      </c>
      <c r="N45" s="24">
        <f>N32+N35</f>
        <v>89.388888888888886</v>
      </c>
      <c r="O45" s="24">
        <f>O32+O35</f>
        <v>23.375</v>
      </c>
      <c r="P45" s="56"/>
      <c r="Q45" s="116"/>
      <c r="R45" s="24">
        <v>88</v>
      </c>
      <c r="S45" s="94">
        <v>1.2E-2</v>
      </c>
      <c r="T45" s="99">
        <f>M45/R45</f>
        <v>1.0157828282828285</v>
      </c>
      <c r="U45" s="99">
        <f>(O45/1024)/S45</f>
        <v>1.9022623697916665</v>
      </c>
    </row>
    <row r="46" spans="1:21" x14ac:dyDescent="0.2">
      <c r="C46"/>
      <c r="E46" s="6"/>
      <c r="F46" s="65" t="s">
        <v>89</v>
      </c>
      <c r="G46" s="57"/>
      <c r="H46" s="25"/>
      <c r="I46" s="114">
        <f>I45*60</f>
        <v>134.08333333333334</v>
      </c>
      <c r="J46" s="28">
        <f>I46*PutMeanSeconds</f>
        <v>0.98785895833333337</v>
      </c>
      <c r="K46" s="25">
        <f>K36+K34</f>
        <v>67.233561197916671</v>
      </c>
      <c r="L46" s="58">
        <f>L36+L34</f>
        <v>368.16666666666669</v>
      </c>
      <c r="M46" s="105">
        <f t="shared" si="5"/>
        <v>5363.3333333333339</v>
      </c>
      <c r="N46" s="25">
        <f>N36+N34</f>
        <v>14726.666666666668</v>
      </c>
      <c r="O46" s="25">
        <f>O36+O34</f>
        <v>2689.342447916667</v>
      </c>
      <c r="P46" s="58"/>
      <c r="Q46" s="75"/>
      <c r="R46" s="25"/>
      <c r="S46" s="95"/>
      <c r="T46" s="100"/>
      <c r="U46" s="100"/>
    </row>
    <row r="47" spans="1:21" x14ac:dyDescent="0.2">
      <c r="C47"/>
      <c r="E47" s="6"/>
      <c r="F47" s="66" t="s">
        <v>96</v>
      </c>
      <c r="G47" s="70"/>
      <c r="H47" s="29"/>
      <c r="I47" s="112">
        <f>I46*60</f>
        <v>8045.0000000000009</v>
      </c>
      <c r="J47" s="30">
        <f>I47*PutMeanSeconds</f>
        <v>59.271537500000008</v>
      </c>
      <c r="K47" s="29"/>
      <c r="L47" s="71">
        <f>L46*60</f>
        <v>22090</v>
      </c>
      <c r="M47" s="106">
        <f t="shared" si="5"/>
        <v>321800.00000000006</v>
      </c>
      <c r="N47" s="29"/>
      <c r="O47" s="29">
        <f>O46*60</f>
        <v>161360.54687500003</v>
      </c>
      <c r="P47" s="71">
        <f>(EetcdDBSizeGiB*1073741824)/(O47*1024)</f>
        <v>32.491709414330771</v>
      </c>
      <c r="Q47" s="75"/>
      <c r="R47" s="29"/>
      <c r="S47" s="93"/>
      <c r="T47" s="101"/>
      <c r="U47" s="101"/>
    </row>
    <row r="48" spans="1:21" x14ac:dyDescent="0.2">
      <c r="B48" s="103"/>
      <c r="C48"/>
      <c r="E48" s="6" t="s">
        <v>78</v>
      </c>
      <c r="F48" s="64" t="s">
        <v>92</v>
      </c>
      <c r="G48" s="55"/>
      <c r="H48" s="24"/>
      <c r="I48" s="113">
        <f>I49/60</f>
        <v>3.4722222222222224E-2</v>
      </c>
      <c r="J48" s="27">
        <f>I48*DeleteMeanSeconds</f>
        <v>2.7370833333333338E-4</v>
      </c>
      <c r="K48" s="24">
        <f>K31</f>
        <v>0</v>
      </c>
      <c r="L48" s="56">
        <f>L31</f>
        <v>1.7361111111111112</v>
      </c>
      <c r="M48" s="104">
        <f t="shared" si="5"/>
        <v>1.3888888888888888</v>
      </c>
      <c r="N48" s="24">
        <f>N31</f>
        <v>69.444444444444443</v>
      </c>
      <c r="O48" s="24"/>
      <c r="P48" s="56"/>
      <c r="Q48" s="117" t="s">
        <v>191</v>
      </c>
      <c r="R48" s="24"/>
      <c r="S48" s="94"/>
      <c r="T48" s="99"/>
      <c r="U48" s="99"/>
    </row>
    <row r="49" spans="1:21" x14ac:dyDescent="0.2">
      <c r="C49"/>
      <c r="E49" s="6"/>
      <c r="F49" s="65" t="s">
        <v>93</v>
      </c>
      <c r="G49" s="57"/>
      <c r="H49" s="25"/>
      <c r="I49" s="114">
        <f>G33</f>
        <v>2.0833333333333335</v>
      </c>
      <c r="J49" s="28">
        <f>I49*DeleteMeanSeconds</f>
        <v>1.6422500000000003E-2</v>
      </c>
      <c r="K49" s="25">
        <f>K33</f>
        <v>0</v>
      </c>
      <c r="L49" s="58">
        <f>L33</f>
        <v>104.16666666666667</v>
      </c>
      <c r="M49" s="105">
        <f t="shared" si="5"/>
        <v>83.333333333333343</v>
      </c>
      <c r="N49" s="25">
        <f>N33</f>
        <v>4166.666666666667</v>
      </c>
      <c r="O49" s="25"/>
      <c r="P49" s="58"/>
      <c r="Q49" s="75"/>
      <c r="R49" s="25"/>
      <c r="S49" s="95"/>
      <c r="T49" s="100"/>
      <c r="U49" s="100"/>
    </row>
    <row r="50" spans="1:21" x14ac:dyDescent="0.2">
      <c r="C50"/>
      <c r="E50" s="6" t="s">
        <v>79</v>
      </c>
      <c r="F50" s="64" t="s">
        <v>94</v>
      </c>
      <c r="G50" s="55"/>
      <c r="H50" s="24"/>
      <c r="I50" s="113">
        <f>G26</f>
        <v>125</v>
      </c>
      <c r="J50" s="27">
        <f>I50*GetMeanSeconds</f>
        <v>1.0487375000000001</v>
      </c>
      <c r="K50" s="24">
        <f>K26+K40</f>
        <v>25.870768229166668</v>
      </c>
      <c r="L50" s="56">
        <f>L26+L40</f>
        <v>141.66666666666666</v>
      </c>
      <c r="M50" s="104">
        <f t="shared" si="5"/>
        <v>5000</v>
      </c>
      <c r="N50" s="24">
        <f>N26+N40</f>
        <v>5666.666666666667</v>
      </c>
      <c r="O50" s="24">
        <f>O26+O40</f>
        <v>1034.8307291666667</v>
      </c>
      <c r="P50" s="56"/>
      <c r="Q50" s="117" t="s">
        <v>207</v>
      </c>
      <c r="R50" s="24">
        <v>5000</v>
      </c>
      <c r="S50" s="94">
        <v>0.19</v>
      </c>
      <c r="T50" s="99">
        <f>M50/R50</f>
        <v>1</v>
      </c>
      <c r="U50" s="99">
        <f>(O50/1024)/S50</f>
        <v>5.3188257050095951</v>
      </c>
    </row>
    <row r="51" spans="1:21" x14ac:dyDescent="0.2">
      <c r="C51"/>
      <c r="E51" s="6"/>
      <c r="F51" s="65" t="s">
        <v>95</v>
      </c>
      <c r="G51" s="57"/>
      <c r="H51" s="25"/>
      <c r="I51" s="114">
        <f>G27</f>
        <v>7500</v>
      </c>
      <c r="J51" s="28">
        <f>I51*GetMeanSeconds</f>
        <v>62.924250000000001</v>
      </c>
      <c r="K51" s="25">
        <f>K27+K41</f>
        <v>1552.24609375</v>
      </c>
      <c r="L51" s="58">
        <f>L27+L41</f>
        <v>8500</v>
      </c>
      <c r="M51" s="105">
        <f t="shared" si="5"/>
        <v>300000</v>
      </c>
      <c r="N51" s="25">
        <f>N27+N41</f>
        <v>340000</v>
      </c>
      <c r="O51" s="25">
        <f>O27+O41</f>
        <v>62089.84375</v>
      </c>
      <c r="P51" s="58"/>
      <c r="Q51" s="75"/>
      <c r="R51" s="25"/>
      <c r="S51" s="95"/>
      <c r="T51" s="100"/>
      <c r="U51" s="100"/>
    </row>
    <row r="52" spans="1:21" x14ac:dyDescent="0.2">
      <c r="C52"/>
      <c r="E52" s="6" t="s">
        <v>208</v>
      </c>
      <c r="F52" s="64" t="s">
        <v>94</v>
      </c>
      <c r="G52" s="55"/>
      <c r="H52" s="24"/>
      <c r="I52" s="113">
        <f>G28+G40</f>
        <v>3.3333333333333335</v>
      </c>
      <c r="J52" s="27">
        <f>I52*PrefixGetMeanSeconds</f>
        <v>2.3333333333333334E-2</v>
      </c>
      <c r="K52" s="24">
        <f>K28+K40</f>
        <v>3.043619791666667</v>
      </c>
      <c r="L52" s="56">
        <f>L28+L40</f>
        <v>16.666666666666668</v>
      </c>
      <c r="M52" s="104">
        <f t="shared" ref="M52:M53" si="6">I52*ClientPods</f>
        <v>133.33333333333334</v>
      </c>
      <c r="N52" s="24">
        <f>N28+N40</f>
        <v>666.66666666666674</v>
      </c>
      <c r="O52" s="24">
        <f>O28+O40</f>
        <v>121.74479166666669</v>
      </c>
      <c r="P52" s="56"/>
      <c r="Q52" s="75"/>
      <c r="R52" s="24">
        <v>172</v>
      </c>
      <c r="S52" s="94">
        <v>4.9000000000000004</v>
      </c>
      <c r="T52" s="99">
        <f>M52/R52</f>
        <v>0.77519379844961245</v>
      </c>
      <c r="U52" s="99">
        <f>(O52/1024)/S52</f>
        <v>2.4263550635097792E-2</v>
      </c>
    </row>
    <row r="53" spans="1:21" x14ac:dyDescent="0.2">
      <c r="C53"/>
      <c r="E53" s="6"/>
      <c r="F53" s="65" t="s">
        <v>95</v>
      </c>
      <c r="G53" s="57"/>
      <c r="H53" s="25"/>
      <c r="I53" s="114">
        <f>G29+G41</f>
        <v>200</v>
      </c>
      <c r="J53" s="28" cm="1">
        <f t="array" ref="J53">I53*PrefixGetMeanSeconds</f>
        <v>1.4000000000000001</v>
      </c>
      <c r="K53" s="25">
        <f>K29+K41</f>
        <v>182.6171875</v>
      </c>
      <c r="L53" s="58">
        <f>L29+L41</f>
        <v>1000</v>
      </c>
      <c r="M53" s="105">
        <f t="shared" si="6"/>
        <v>8000</v>
      </c>
      <c r="N53" s="25">
        <f>N29+N41</f>
        <v>40000</v>
      </c>
      <c r="O53" s="25">
        <f>O29+O41</f>
        <v>7304.6875</v>
      </c>
      <c r="P53" s="58"/>
      <c r="Q53" s="75"/>
      <c r="R53" s="25"/>
      <c r="S53" s="95"/>
      <c r="T53" s="100"/>
      <c r="U53" s="100"/>
    </row>
    <row r="54" spans="1:21" x14ac:dyDescent="0.2">
      <c r="E54" s="6" t="s">
        <v>143</v>
      </c>
      <c r="F54" s="64" t="s">
        <v>84</v>
      </c>
      <c r="G54" s="55"/>
      <c r="H54" s="24"/>
      <c r="I54" s="113">
        <f>I45+I48+I50</f>
        <v>127.26944444444445</v>
      </c>
      <c r="J54" s="27"/>
      <c r="K54" s="24"/>
      <c r="L54" s="56"/>
      <c r="M54" s="104">
        <f>M45+M48+M50</f>
        <v>5090.7777777777774</v>
      </c>
      <c r="N54" s="24"/>
      <c r="O54" s="24"/>
      <c r="P54" s="56"/>
      <c r="Q54" s="75"/>
      <c r="R54" s="24"/>
      <c r="S54" s="94"/>
      <c r="T54" s="99"/>
      <c r="U54" s="99"/>
    </row>
    <row r="55" spans="1:21" ht="17" thickBot="1" x14ac:dyDescent="0.25">
      <c r="C55"/>
      <c r="E55" s="6"/>
      <c r="F55" s="65" t="s">
        <v>107</v>
      </c>
      <c r="G55" s="61"/>
      <c r="H55" s="62"/>
      <c r="I55" s="115">
        <f>I46+I49+I51</f>
        <v>7636.166666666667</v>
      </c>
      <c r="J55" s="72"/>
      <c r="K55" s="62"/>
      <c r="L55" s="63"/>
      <c r="M55" s="107">
        <f>M46+M49+M51</f>
        <v>305446.66666666669</v>
      </c>
      <c r="N55" s="62"/>
      <c r="O55" s="62"/>
      <c r="P55" s="63"/>
      <c r="Q55" s="75"/>
      <c r="R55" s="62"/>
      <c r="S55" s="96"/>
      <c r="T55" s="102"/>
      <c r="U55" s="102"/>
    </row>
    <row r="56" spans="1:21" x14ac:dyDescent="0.2">
      <c r="C56"/>
      <c r="P56" s="2"/>
      <c r="Q56" s="2"/>
    </row>
    <row r="57" spans="1:21" x14ac:dyDescent="0.2">
      <c r="A57" s="6" t="s">
        <v>134</v>
      </c>
    </row>
    <row r="58" spans="1:21" x14ac:dyDescent="0.2">
      <c r="B58" s="8"/>
      <c r="C58" s="8" t="s">
        <v>99</v>
      </c>
      <c r="D58" s="8" t="s">
        <v>101</v>
      </c>
      <c r="O58" s="3"/>
    </row>
    <row r="59" spans="1:21" x14ac:dyDescent="0.2">
      <c r="B59" s="8" t="s">
        <v>41</v>
      </c>
      <c r="C59" s="37">
        <v>7367.5</v>
      </c>
      <c r="D59" s="32">
        <f>PutMeanMicroseconds/1000000</f>
        <v>7.3674999999999999E-3</v>
      </c>
      <c r="O59" s="3"/>
    </row>
    <row r="60" spans="1:21" x14ac:dyDescent="0.2">
      <c r="B60" s="8" t="s">
        <v>97</v>
      </c>
      <c r="C60" s="37">
        <v>7882.8</v>
      </c>
      <c r="D60" s="32">
        <f>DeleteMeanMicroseconds/1000000</f>
        <v>7.8828000000000006E-3</v>
      </c>
      <c r="H60" s="15"/>
      <c r="O60" s="3"/>
    </row>
    <row r="61" spans="1:21" x14ac:dyDescent="0.2">
      <c r="B61" s="8" t="s">
        <v>98</v>
      </c>
      <c r="C61" s="37">
        <v>8389.9</v>
      </c>
      <c r="D61" s="32">
        <f>GetMeanMicroseconds/1000000</f>
        <v>8.3899000000000005E-3</v>
      </c>
      <c r="O61" s="3"/>
    </row>
    <row r="62" spans="1:21" x14ac:dyDescent="0.2">
      <c r="B62" s="8" t="s">
        <v>206</v>
      </c>
      <c r="C62" s="37">
        <v>7000</v>
      </c>
      <c r="D62" s="32">
        <f>PrefixGetMeanMicroseconds/1000000</f>
        <v>7.0000000000000001E-3</v>
      </c>
      <c r="O62" s="3"/>
    </row>
    <row r="65" spans="7:15" x14ac:dyDescent="0.2">
      <c r="O65" s="3"/>
    </row>
    <row r="66" spans="7:15" x14ac:dyDescent="0.2">
      <c r="O66" s="3"/>
    </row>
    <row r="67" spans="7:15" x14ac:dyDescent="0.2">
      <c r="O67" s="3"/>
    </row>
    <row r="68" spans="7:15" x14ac:dyDescent="0.2">
      <c r="O68" s="3"/>
    </row>
    <row r="69" spans="7:15" x14ac:dyDescent="0.2">
      <c r="O69" s="3"/>
    </row>
    <row r="70" spans="7:15" x14ac:dyDescent="0.2">
      <c r="G70" s="12"/>
    </row>
    <row r="71" spans="7:15" x14ac:dyDescent="0.2">
      <c r="G71" s="12"/>
    </row>
    <row r="72" spans="7:15" x14ac:dyDescent="0.2">
      <c r="G72" s="12"/>
    </row>
    <row r="73" spans="7:15" x14ac:dyDescent="0.2">
      <c r="G73" s="12"/>
      <c r="O73" s="3"/>
    </row>
    <row r="74" spans="7:15" x14ac:dyDescent="0.2">
      <c r="G74" s="12"/>
      <c r="O74" s="3"/>
    </row>
    <row r="75" spans="7:15" x14ac:dyDescent="0.2">
      <c r="G75" s="12"/>
      <c r="O75" s="3"/>
    </row>
    <row r="76" spans="7:15" x14ac:dyDescent="0.2">
      <c r="G76" s="12"/>
      <c r="O76" s="3"/>
    </row>
    <row r="77" spans="7:15" x14ac:dyDescent="0.2">
      <c r="O77" s="3"/>
    </row>
  </sheetData>
  <conditionalFormatting sqref="J45">
    <cfRule type="cellIs" dxfId="23" priority="23" stopIfTrue="1" operator="greaterThanOrEqual">
      <formula>1</formula>
    </cfRule>
    <cfRule type="cellIs" dxfId="22" priority="24" operator="greaterThan">
      <formula>0.9</formula>
    </cfRule>
  </conditionalFormatting>
  <conditionalFormatting sqref="J48">
    <cfRule type="cellIs" dxfId="21" priority="21" stopIfTrue="1" operator="greaterThanOrEqual">
      <formula>1</formula>
    </cfRule>
    <cfRule type="cellIs" dxfId="20" priority="22" operator="greaterThan">
      <formula>0.9</formula>
    </cfRule>
  </conditionalFormatting>
  <conditionalFormatting sqref="J50">
    <cfRule type="cellIs" dxfId="19" priority="19" stopIfTrue="1" operator="greaterThanOrEqual">
      <formula>1</formula>
    </cfRule>
    <cfRule type="cellIs" dxfId="18" priority="20" operator="greaterThan">
      <formula>0.9</formula>
    </cfRule>
  </conditionalFormatting>
  <conditionalFormatting sqref="J46">
    <cfRule type="cellIs" dxfId="17" priority="17" stopIfTrue="1" operator="greaterThanOrEqual">
      <formula>60</formula>
    </cfRule>
    <cfRule type="cellIs" dxfId="16" priority="18" operator="greaterThan">
      <formula>54</formula>
    </cfRule>
  </conditionalFormatting>
  <conditionalFormatting sqref="J47">
    <cfRule type="cellIs" dxfId="15" priority="15" stopIfTrue="1" operator="greaterThanOrEqual">
      <formula>3600</formula>
    </cfRule>
    <cfRule type="cellIs" dxfId="14" priority="16" operator="greaterThan">
      <formula>3240</formula>
    </cfRule>
  </conditionalFormatting>
  <conditionalFormatting sqref="J54:J55">
    <cfRule type="cellIs" dxfId="13" priority="11" stopIfTrue="1" operator="greaterThanOrEqual">
      <formula>60</formula>
    </cfRule>
    <cfRule type="cellIs" dxfId="12" priority="12" operator="greaterThan">
      <formula>6.6666</formula>
    </cfRule>
  </conditionalFormatting>
  <conditionalFormatting sqref="P47">
    <cfRule type="cellIs" dxfId="11" priority="9" operator="lessThanOrEqual">
      <formula>1</formula>
    </cfRule>
    <cfRule type="cellIs" dxfId="10" priority="10" operator="lessThan">
      <formula>2</formula>
    </cfRule>
  </conditionalFormatting>
  <conditionalFormatting sqref="J49">
    <cfRule type="cellIs" dxfId="9" priority="7" stopIfTrue="1" operator="greaterThanOrEqual">
      <formula>60</formula>
    </cfRule>
    <cfRule type="cellIs" dxfId="8" priority="8" operator="greaterThan">
      <formula>54</formula>
    </cfRule>
  </conditionalFormatting>
  <conditionalFormatting sqref="J51">
    <cfRule type="cellIs" dxfId="7" priority="5" stopIfTrue="1" operator="greaterThanOrEqual">
      <formula>60</formula>
    </cfRule>
    <cfRule type="cellIs" dxfId="6" priority="6" operator="greaterThan">
      <formula>54</formula>
    </cfRule>
  </conditionalFormatting>
  <conditionalFormatting sqref="J52">
    <cfRule type="cellIs" dxfId="5" priority="3" stopIfTrue="1" operator="greaterThanOrEqual">
      <formula>1</formula>
    </cfRule>
    <cfRule type="cellIs" dxfId="4" priority="4" operator="greaterThan">
      <formula>0.9</formula>
    </cfRule>
  </conditionalFormatting>
  <conditionalFormatting sqref="J53">
    <cfRule type="cellIs" dxfId="3" priority="1" stopIfTrue="1" operator="greaterThanOrEqual">
      <formula>60</formula>
    </cfRule>
    <cfRule type="cellIs" dxfId="2" priority="2" operator="greaterThan">
      <formula>54</formula>
    </cfRule>
  </conditionalFormatting>
  <pageMargins left="0.7" right="0.7" top="0.75" bottom="0.75" header="0.3" footer="0.3"/>
  <pageSetup orientation="portrait" horizontalDpi="0" verticalDpi="0"/>
  <ignoredErrors>
    <ignoredError sqref="E39" formula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9B00-DBAD-FC4A-A51A-2EEDFAD4C7E3}">
  <dimension ref="A1"/>
  <sheetViews>
    <sheetView tabSelected="1" workbookViewId="0">
      <selection activeCell="L46" sqref="L4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643C-1AA8-1B46-A69D-ADA81FE0928A}">
  <dimension ref="A1:CB138"/>
  <sheetViews>
    <sheetView workbookViewId="0">
      <selection activeCell="C46" sqref="C46"/>
    </sheetView>
  </sheetViews>
  <sheetFormatPr baseColWidth="10" defaultRowHeight="16" x14ac:dyDescent="0.2"/>
  <cols>
    <col min="1" max="1" width="15.6640625" customWidth="1"/>
    <col min="2" max="2" width="19.6640625" customWidth="1"/>
    <col min="3" max="3" width="13.83203125" customWidth="1"/>
    <col min="12" max="12" width="1.33203125" style="81" customWidth="1"/>
    <col min="13" max="13" width="15.5" bestFit="1" customWidth="1"/>
    <col min="14" max="14" width="13.83203125" bestFit="1" customWidth="1"/>
    <col min="15" max="15" width="12.33203125" bestFit="1" customWidth="1"/>
    <col min="16" max="16" width="6.1640625" bestFit="1" customWidth="1"/>
    <col min="17" max="17" width="8.1640625" bestFit="1" customWidth="1"/>
    <col min="18" max="18" width="7.1640625" bestFit="1" customWidth="1"/>
    <col min="19" max="19" width="10.6640625" bestFit="1" customWidth="1"/>
    <col min="20" max="20" width="12.1640625" bestFit="1" customWidth="1"/>
    <col min="21" max="21" width="15.6640625" bestFit="1" customWidth="1"/>
    <col min="22" max="22" width="7.1640625" bestFit="1" customWidth="1"/>
    <col min="23" max="23" width="8.1640625" bestFit="1" customWidth="1"/>
    <col min="24" max="24" width="9.6640625" bestFit="1" customWidth="1"/>
    <col min="25" max="25" width="13.1640625" bestFit="1" customWidth="1"/>
    <col min="26" max="26" width="9" bestFit="1" customWidth="1"/>
    <col min="27" max="27" width="6" bestFit="1" customWidth="1"/>
    <col min="28" max="28" width="16" style="2" bestFit="1" customWidth="1"/>
    <col min="29" max="29" width="14.5" style="2" bestFit="1" customWidth="1"/>
    <col min="30" max="30" width="14.83203125" style="2" bestFit="1" customWidth="1"/>
    <col min="31" max="31" width="16" style="2" bestFit="1" customWidth="1"/>
    <col min="32" max="32" width="14.5" style="2" bestFit="1" customWidth="1"/>
    <col min="33" max="33" width="14.83203125" style="2" bestFit="1" customWidth="1"/>
    <col min="34" max="34" width="16.33203125" style="2" bestFit="1" customWidth="1"/>
    <col min="35" max="35" width="14.6640625" style="2" bestFit="1" customWidth="1"/>
    <col min="36" max="36" width="15" style="2" bestFit="1" customWidth="1"/>
    <col min="37" max="37" width="10.5" bestFit="1" customWidth="1"/>
    <col min="38" max="38" width="21.5" bestFit="1" customWidth="1"/>
    <col min="39" max="39" width="19.83203125" bestFit="1" customWidth="1"/>
    <col min="40" max="40" width="20.1640625" bestFit="1" customWidth="1"/>
    <col min="41" max="42" width="13" bestFit="1" customWidth="1"/>
    <col min="43" max="43" width="8.6640625" bestFit="1" customWidth="1"/>
    <col min="44" max="44" width="12" bestFit="1" customWidth="1"/>
    <col min="45" max="45" width="15.5" bestFit="1" customWidth="1"/>
    <col min="46" max="46" width="9.83203125" bestFit="1" customWidth="1"/>
    <col min="47" max="47" width="13.33203125" bestFit="1" customWidth="1"/>
    <col min="48" max="48" width="14.83203125" bestFit="1" customWidth="1"/>
    <col min="49" max="49" width="18.5" bestFit="1" customWidth="1"/>
    <col min="50" max="50" width="21.1640625" bestFit="1" customWidth="1"/>
    <col min="51" max="51" width="19.6640625" bestFit="1" customWidth="1"/>
    <col min="52" max="52" width="20" bestFit="1" customWidth="1"/>
    <col min="53" max="53" width="18.33203125" bestFit="1" customWidth="1"/>
    <col min="54" max="54" width="10.1640625" bestFit="1" customWidth="1"/>
    <col min="55" max="55" width="13.33203125" bestFit="1" customWidth="1"/>
    <col min="56" max="56" width="14.1640625" bestFit="1" customWidth="1"/>
    <col min="57" max="57" width="12.6640625" bestFit="1" customWidth="1"/>
    <col min="58" max="58" width="12.83203125" bestFit="1" customWidth="1"/>
    <col min="59" max="59" width="6.5" bestFit="1" customWidth="1"/>
    <col min="60" max="60" width="5.83203125" style="2" bestFit="1" customWidth="1"/>
    <col min="61" max="61" width="10.1640625" bestFit="1" customWidth="1"/>
    <col min="62" max="62" width="9.1640625" bestFit="1" customWidth="1"/>
    <col min="63" max="63" width="18.6640625" bestFit="1" customWidth="1"/>
    <col min="64" max="64" width="12.33203125" bestFit="1" customWidth="1"/>
    <col min="65" max="65" width="11.5" bestFit="1" customWidth="1"/>
    <col min="66" max="66" width="12" bestFit="1" customWidth="1"/>
    <col min="67" max="67" width="8.33203125" bestFit="1" customWidth="1"/>
    <col min="68" max="68" width="7.83203125" bestFit="1" customWidth="1"/>
    <col min="69" max="69" width="80.6640625" bestFit="1" customWidth="1"/>
    <col min="70" max="70" width="7.83203125" bestFit="1" customWidth="1"/>
    <col min="71" max="71" width="14.6640625" bestFit="1" customWidth="1"/>
    <col min="72" max="72" width="7.6640625" bestFit="1" customWidth="1"/>
    <col min="73" max="73" width="12" bestFit="1" customWidth="1"/>
    <col min="74" max="74" width="11.33203125" bestFit="1" customWidth="1"/>
    <col min="75" max="75" width="5" bestFit="1" customWidth="1"/>
    <col min="76" max="76" width="7.83203125" bestFit="1" customWidth="1"/>
    <col min="77" max="77" width="7.5" bestFit="1" customWidth="1"/>
    <col min="78" max="78" width="20.1640625" bestFit="1" customWidth="1"/>
    <col min="79" max="79" width="22" bestFit="1" customWidth="1"/>
    <col min="80" max="80" width="15.83203125" customWidth="1"/>
  </cols>
  <sheetData>
    <row r="1" spans="1:80" x14ac:dyDescent="0.2">
      <c r="D1" s="84" t="s">
        <v>169</v>
      </c>
      <c r="E1" s="85"/>
      <c r="F1" s="86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80"/>
      <c r="AC1" s="80"/>
      <c r="AD1" s="80"/>
      <c r="AE1" s="80"/>
      <c r="AF1" s="80"/>
      <c r="AG1" s="80"/>
      <c r="AH1" s="80"/>
      <c r="AI1" s="80"/>
      <c r="AJ1" s="80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80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</row>
    <row r="2" spans="1:80" x14ac:dyDescent="0.2">
      <c r="A2" t="s">
        <v>55</v>
      </c>
      <c r="B2" s="10" t="str">
        <f>CONCATENATE(TEXT(FLOOR(AVERAGE(O:O)/1000/60/60,1),"0"),":",TEXT(FLOOR((AVERAGE(O:O)-(FLOOR(AVERAGE(O:O)/1000/60/60,1)*3600000))/1000/60,1),"00"))</f>
        <v>2:46</v>
      </c>
      <c r="D2" s="39">
        <v>2</v>
      </c>
      <c r="E2" s="87" t="s">
        <v>168</v>
      </c>
      <c r="F2" s="88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80"/>
      <c r="AC2" s="80"/>
      <c r="AD2" s="80"/>
      <c r="AE2" s="80"/>
      <c r="AF2" s="80"/>
      <c r="AG2" s="80"/>
      <c r="AH2" s="80"/>
      <c r="AI2" s="80"/>
      <c r="AJ2" s="80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80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</row>
    <row r="3" spans="1:80" x14ac:dyDescent="0.2">
      <c r="A3" t="str">
        <f>Z38</f>
        <v>key space</v>
      </c>
      <c r="B3" s="14">
        <f>AVERAGE(Z:Z)*C20</f>
        <v>6000000</v>
      </c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80"/>
      <c r="AC3" s="80"/>
      <c r="AD3" s="80"/>
      <c r="AE3" s="80"/>
      <c r="AF3" s="80"/>
      <c r="AG3" s="80"/>
      <c r="AH3" s="80"/>
      <c r="AI3" s="80"/>
      <c r="AJ3" s="80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80"/>
      <c r="BI3" s="79"/>
      <c r="BJ3" s="79"/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9"/>
      <c r="CB3" s="79"/>
    </row>
    <row r="4" spans="1:80" x14ac:dyDescent="0.2">
      <c r="D4" s="11"/>
      <c r="H4" s="7" t="s">
        <v>209</v>
      </c>
      <c r="I4" s="125"/>
      <c r="J4" s="125"/>
      <c r="K4" s="123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80"/>
      <c r="AC4" s="80"/>
      <c r="AD4" s="80"/>
      <c r="AE4" s="80"/>
      <c r="AF4" s="80"/>
      <c r="AG4" s="80"/>
      <c r="AH4" s="80"/>
      <c r="AI4" s="80"/>
      <c r="AJ4" s="80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80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</row>
    <row r="5" spans="1:80" x14ac:dyDescent="0.2">
      <c r="A5" s="7"/>
      <c r="B5" s="7" t="s">
        <v>56</v>
      </c>
      <c r="C5" s="7" t="s">
        <v>57</v>
      </c>
      <c r="D5" s="7" t="s">
        <v>172</v>
      </c>
      <c r="E5" s="77" t="s">
        <v>59</v>
      </c>
      <c r="F5" s="77" t="s">
        <v>58</v>
      </c>
      <c r="G5" s="7" t="s">
        <v>60</v>
      </c>
      <c r="H5" s="7" t="s">
        <v>211</v>
      </c>
      <c r="I5" s="77" t="s">
        <v>210</v>
      </c>
      <c r="J5" s="7" t="s">
        <v>212</v>
      </c>
      <c r="K5" s="77" t="s">
        <v>210</v>
      </c>
      <c r="L5" s="82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80"/>
      <c r="AC5" s="80"/>
      <c r="AD5" s="80"/>
      <c r="AE5" s="80"/>
      <c r="AF5" s="80"/>
      <c r="AG5" s="80"/>
      <c r="AH5" s="80"/>
      <c r="AI5" s="80"/>
      <c r="AJ5" s="80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80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</row>
    <row r="6" spans="1:80" x14ac:dyDescent="0.2">
      <c r="A6" s="7" t="str">
        <f>P38</f>
        <v>puts</v>
      </c>
      <c r="B6" s="8">
        <f>SUM(P:P)</f>
        <v>1675467</v>
      </c>
      <c r="C6" s="9">
        <f>SUM(Q:Q)</f>
        <v>183.52</v>
      </c>
      <c r="D6" s="89">
        <f>SUM(AO:AO)/1024</f>
        <v>33.594091796874991</v>
      </c>
      <c r="E6" s="78">
        <f>IF(B6&gt;0,AVERAGEIF(AB:AB,"&lt;&gt;0")/1000,"N/A")</f>
        <v>38.78792</v>
      </c>
      <c r="F6" s="78">
        <f>IF(B6&gt;0,SMALL(AC:AC,COUNTIF(AC:AC,0)+1)/1000,"N/A")</f>
        <v>3.7360000000000002</v>
      </c>
      <c r="G6" s="9">
        <f>IF(B6&gt;0,MAX(AD:AD)/1000,"N/A")</f>
        <v>16235.967000000001</v>
      </c>
      <c r="H6" s="121">
        <v>88</v>
      </c>
      <c r="I6" s="98">
        <f>C6/H6</f>
        <v>2.0854545454545454</v>
      </c>
      <c r="J6" s="89">
        <f>0.012*1024</f>
        <v>12.288</v>
      </c>
      <c r="K6" s="98">
        <f>D6/J6</f>
        <v>2.7338941891988111</v>
      </c>
      <c r="L6" s="83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80"/>
      <c r="AC6" s="80"/>
      <c r="AD6" s="80"/>
      <c r="AE6" s="80"/>
      <c r="AF6" s="80"/>
      <c r="AG6" s="80"/>
      <c r="AH6" s="80"/>
      <c r="AI6" s="80"/>
      <c r="AJ6" s="80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80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</row>
    <row r="7" spans="1:80" x14ac:dyDescent="0.2">
      <c r="A7" s="7" t="str">
        <f>R38</f>
        <v>deletes</v>
      </c>
      <c r="B7" s="8">
        <f>SUM(R:R)</f>
        <v>794847</v>
      </c>
      <c r="C7" s="9">
        <f>SUM(S:S)</f>
        <v>87.062899999999999</v>
      </c>
      <c r="D7" s="89"/>
      <c r="E7" s="77"/>
      <c r="F7" s="77"/>
      <c r="G7" s="7"/>
      <c r="H7" s="121"/>
      <c r="I7" s="98"/>
      <c r="J7" s="89"/>
      <c r="K7" s="98"/>
      <c r="L7" s="82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80"/>
      <c r="AC7" s="80"/>
      <c r="AD7" s="80"/>
      <c r="AE7" s="80"/>
      <c r="AF7" s="80"/>
      <c r="AG7" s="80"/>
      <c r="AH7" s="80"/>
      <c r="AI7" s="80"/>
      <c r="AJ7" s="80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80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</row>
    <row r="8" spans="1:80" x14ac:dyDescent="0.2">
      <c r="A8" s="7" t="str">
        <f>T38</f>
        <v>client deletes</v>
      </c>
      <c r="B8" s="8">
        <f>SUM(T:T)</f>
        <v>18000</v>
      </c>
      <c r="C8" s="9">
        <f>SUM(U:U)</f>
        <v>1.9700000000000024</v>
      </c>
      <c r="D8" s="89"/>
      <c r="E8" s="78">
        <f>IF(B8&gt;0,AVERAGEIF(AE:AE,"&lt;&gt;0")/1000,"N/A")</f>
        <v>50.886499999999998</v>
      </c>
      <c r="F8" s="78">
        <f>IF(B8&gt;0,SMALL(AF:AF,COUNTIF(AF:AF,0)+1)/1000,"N/A")</f>
        <v>4.242</v>
      </c>
      <c r="G8" s="9">
        <f>IF(B8&gt;0,MAX(AG:AG)/1000,"N/A")</f>
        <v>5904.4440000000004</v>
      </c>
      <c r="H8" s="121"/>
      <c r="I8" s="98"/>
      <c r="J8" s="89"/>
      <c r="K8" s="98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80"/>
      <c r="AC8" s="80"/>
      <c r="AD8" s="80"/>
      <c r="AE8" s="80"/>
      <c r="AF8" s="80"/>
      <c r="AG8" s="80"/>
      <c r="AH8" s="80"/>
      <c r="AI8" s="80"/>
      <c r="AJ8" s="80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80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</row>
    <row r="9" spans="1:80" x14ac:dyDescent="0.2">
      <c r="A9" s="7" t="str">
        <f>V38</f>
        <v>gets</v>
      </c>
      <c r="B9" s="8">
        <f>SUM(V:V)</f>
        <v>28936441</v>
      </c>
      <c r="C9" s="9">
        <f>SUM(W:W)</f>
        <v>3169.5182999999988</v>
      </c>
      <c r="D9" s="89">
        <f>SUM(AP:AP)/1024</f>
        <v>580.2617382812499</v>
      </c>
      <c r="E9" s="77"/>
      <c r="F9" s="77"/>
      <c r="G9" s="7"/>
      <c r="H9" s="121"/>
      <c r="I9" s="98"/>
      <c r="J9" s="89">
        <f>0.19*1024</f>
        <v>194.56</v>
      </c>
      <c r="K9" s="98">
        <f>D9/J9</f>
        <v>2.9824308094225427</v>
      </c>
      <c r="L9" s="82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80"/>
      <c r="AC9" s="80"/>
      <c r="AD9" s="80"/>
      <c r="AE9" s="80"/>
      <c r="AF9" s="80"/>
      <c r="AG9" s="80"/>
      <c r="AH9" s="80"/>
      <c r="AI9" s="80"/>
      <c r="AJ9" s="80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80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</row>
    <row r="10" spans="1:80" x14ac:dyDescent="0.2">
      <c r="A10" s="7" t="str">
        <f>X38</f>
        <v>client gets</v>
      </c>
      <c r="B10" s="8">
        <f>SUM(X:X)</f>
        <v>33424183</v>
      </c>
      <c r="C10" s="9">
        <f>SUM(Y:Y)</f>
        <v>3661.0776000000005</v>
      </c>
      <c r="D10" s="89"/>
      <c r="E10" s="78">
        <f>IF(B10&gt;0,AVERAGEIF(AH:AH,"&lt;&gt;0")/1000,"N/A")</f>
        <v>14.294360000000001</v>
      </c>
      <c r="F10" s="78">
        <f>IF(B10&gt;0,SMALL(AI:AI,COUNTIF(AI:AI,0)+1)/1000,"N/A")</f>
        <v>4.6280000000000001</v>
      </c>
      <c r="G10" s="9">
        <f>IF(B10&gt;0,MAX(AJ:AJ)/1000,"N/A")</f>
        <v>24449.672999999999</v>
      </c>
      <c r="H10" s="121">
        <v>5000</v>
      </c>
      <c r="I10" s="98">
        <f>C10/H10</f>
        <v>0.73221552000000012</v>
      </c>
      <c r="J10" s="89"/>
      <c r="K10" s="98"/>
      <c r="L10" s="83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80"/>
      <c r="AC10" s="80"/>
      <c r="AD10" s="80"/>
      <c r="AE10" s="80"/>
      <c r="AF10" s="80"/>
      <c r="AG10" s="80"/>
      <c r="AH10" s="80"/>
      <c r="AI10" s="80"/>
      <c r="AJ10" s="80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80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</row>
    <row r="11" spans="1:80" x14ac:dyDescent="0.2">
      <c r="A11" s="7" t="str">
        <f>AT38</f>
        <v>prefix gets</v>
      </c>
      <c r="B11" s="8">
        <f>SUM(AT:AT)</f>
        <v>7625661</v>
      </c>
      <c r="C11" s="8">
        <f>SUM(AU:AU)</f>
        <v>699.38279999999986</v>
      </c>
      <c r="D11" s="89">
        <f>SUM(BA:BA)/1024</f>
        <v>128.05423828125004</v>
      </c>
      <c r="E11" s="78"/>
      <c r="F11" s="78"/>
      <c r="G11" s="9"/>
      <c r="H11" s="121"/>
      <c r="I11" s="98"/>
      <c r="J11" s="89">
        <f>4.9*1024</f>
        <v>5017.6000000000004</v>
      </c>
      <c r="K11" s="98">
        <f>D11/J11</f>
        <v>2.5521013688068007E-2</v>
      </c>
      <c r="L11" s="83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80"/>
      <c r="AC11" s="80"/>
      <c r="AD11" s="80"/>
      <c r="AE11" s="80"/>
      <c r="AF11" s="80"/>
      <c r="AG11" s="80"/>
      <c r="AH11" s="80"/>
      <c r="AI11" s="80"/>
      <c r="AJ11" s="80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80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</row>
    <row r="12" spans="1:80" x14ac:dyDescent="0.2">
      <c r="A12" s="7" t="str">
        <f>AV38</f>
        <v>client prefix gets</v>
      </c>
      <c r="B12" s="8">
        <f>SUM(AV:AV)</f>
        <v>1806775</v>
      </c>
      <c r="C12" s="8">
        <f>SUM(AW:AW)</f>
        <v>165.70760000000001</v>
      </c>
      <c r="D12" s="89"/>
      <c r="E12" s="78">
        <f>IF(B12&gt;0,AVERAGEIF(AX:AX,"&lt;&gt;0")/1000,"N/A")</f>
        <v>168.30432000000002</v>
      </c>
      <c r="F12" s="78">
        <f>IF(B12&gt;0,SMALL(AY:AY,COUNTIF(AY:AY,0)+1)/1000,"N/A")</f>
        <v>3.4980000000000002</v>
      </c>
      <c r="G12" s="9">
        <f>IF(B12&gt;0,MAX(AZ:AZ)/1000,"N/A")</f>
        <v>59954.339</v>
      </c>
      <c r="H12" s="121">
        <v>172</v>
      </c>
      <c r="I12" s="98">
        <f>C12/H12</f>
        <v>0.96341627906976757</v>
      </c>
      <c r="J12" s="89"/>
      <c r="K12" s="98"/>
      <c r="L12" s="83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80"/>
      <c r="AC12" s="80"/>
      <c r="AD12" s="80"/>
      <c r="AE12" s="80"/>
      <c r="AF12" s="80"/>
      <c r="AG12" s="80"/>
      <c r="AH12" s="80"/>
      <c r="AI12" s="80"/>
      <c r="AJ12" s="80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80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</row>
    <row r="13" spans="1:80" x14ac:dyDescent="0.2">
      <c r="A13" s="76" t="str">
        <f>AK38</f>
        <v>Reconnects</v>
      </c>
      <c r="B13" s="8">
        <f>SUM(AK:AK)</f>
        <v>0</v>
      </c>
      <c r="C13" s="9"/>
      <c r="D13" s="89"/>
      <c r="E13" s="78" t="str">
        <f>IF(B13&gt;0,AVERAGEIF(AL:AL,"&lt;&gt;0")/1000,"N/A")</f>
        <v>N/A</v>
      </c>
      <c r="F13" s="78" t="str">
        <f>IF(B13&gt;0,SMALL(AM:AM,COUNTIF(AM:AM,0)+1),"N/A")</f>
        <v>N/A</v>
      </c>
      <c r="G13" s="9" t="str">
        <f>IF(B13&gt;0,MAX(AN:AN)/1000,"N/A")</f>
        <v>N/A</v>
      </c>
      <c r="H13" s="121"/>
      <c r="I13" s="98"/>
      <c r="J13" s="89"/>
      <c r="K13" s="98"/>
      <c r="L13" s="83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80"/>
      <c r="AC13" s="80"/>
      <c r="AD13" s="80"/>
      <c r="AE13" s="80"/>
      <c r="AF13" s="80"/>
      <c r="AG13" s="80"/>
      <c r="AH13" s="80"/>
      <c r="AI13" s="80"/>
      <c r="AJ13" s="80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80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</row>
    <row r="14" spans="1:80" x14ac:dyDescent="0.2">
      <c r="A14" s="76" t="str">
        <f>AQ38</f>
        <v>watchers</v>
      </c>
      <c r="B14" s="8">
        <f>SUM(AQ:AQ)</f>
        <v>5000</v>
      </c>
      <c r="C14" s="9"/>
      <c r="D14" s="89"/>
      <c r="E14" s="78"/>
      <c r="F14" s="78"/>
      <c r="G14" s="9"/>
      <c r="H14" s="121">
        <v>4000</v>
      </c>
      <c r="I14" s="98">
        <f>B14/H14</f>
        <v>1.25</v>
      </c>
      <c r="J14" s="89"/>
      <c r="K14" s="98"/>
      <c r="L14" s="83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80"/>
      <c r="AC14" s="80"/>
      <c r="AD14" s="80"/>
      <c r="AE14" s="80"/>
      <c r="AF14" s="80"/>
      <c r="AG14" s="80"/>
      <c r="AH14" s="80"/>
      <c r="AI14" s="80"/>
      <c r="AJ14" s="80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80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</row>
    <row r="15" spans="1:80" x14ac:dyDescent="0.2">
      <c r="A15" s="76" t="s">
        <v>173</v>
      </c>
      <c r="B15" s="8">
        <f>SUM(AR:AR)</f>
        <v>23476</v>
      </c>
      <c r="C15" s="9">
        <f>SUM(AS:AS)</f>
        <v>2.1533999999999995</v>
      </c>
      <c r="D15" s="89"/>
      <c r="E15" s="78"/>
      <c r="F15" s="78"/>
      <c r="G15" s="9"/>
      <c r="H15" s="121"/>
      <c r="I15" s="98"/>
      <c r="J15" s="89"/>
      <c r="K15" s="98"/>
      <c r="L15" s="83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80"/>
      <c r="AC15" s="80"/>
      <c r="AD15" s="80"/>
      <c r="AE15" s="80"/>
      <c r="AF15" s="80"/>
      <c r="AG15" s="80"/>
      <c r="AH15" s="80"/>
      <c r="AI15" s="80"/>
      <c r="AJ15" s="80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80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</row>
    <row r="16" spans="1:80" x14ac:dyDescent="0.2">
      <c r="A16" s="76" t="s">
        <v>224</v>
      </c>
      <c r="B16" s="8">
        <f>SUM(AA:AA)</f>
        <v>7482</v>
      </c>
      <c r="C16" s="129">
        <f>B16/AVERAGE(O:O)*1000</f>
        <v>0.74696781757445341</v>
      </c>
      <c r="D16" s="126"/>
      <c r="E16" s="83"/>
      <c r="F16" s="83"/>
      <c r="G16" s="124"/>
      <c r="H16" s="127"/>
      <c r="I16" s="128"/>
      <c r="J16" s="126"/>
      <c r="K16" s="128"/>
      <c r="L16" s="83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80"/>
      <c r="AC16" s="80"/>
      <c r="AD16" s="80"/>
      <c r="AE16" s="80"/>
      <c r="AF16" s="80"/>
      <c r="AG16" s="80"/>
      <c r="AH16" s="80"/>
      <c r="AI16" s="80"/>
      <c r="AJ16" s="80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80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</row>
    <row r="17" spans="1:80" x14ac:dyDescent="0.2">
      <c r="A17" s="7" t="s">
        <v>61</v>
      </c>
      <c r="B17" s="7"/>
      <c r="C17" s="9">
        <f>C6+C8+C10</f>
        <v>3846.5676000000003</v>
      </c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80"/>
      <c r="AC17" s="80"/>
      <c r="AD17" s="80"/>
      <c r="AE17" s="80"/>
      <c r="AF17" s="80"/>
      <c r="AG17" s="80"/>
      <c r="AH17" s="80"/>
      <c r="AI17" s="80"/>
      <c r="AJ17" s="80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80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</row>
    <row r="18" spans="1:80" x14ac:dyDescent="0.2"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80"/>
      <c r="AC18" s="80"/>
      <c r="AD18" s="80"/>
      <c r="AE18" s="80"/>
      <c r="AF18" s="80"/>
      <c r="AG18" s="80"/>
      <c r="AH18" s="80"/>
      <c r="AI18" s="80"/>
      <c r="AJ18" s="80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80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</row>
    <row r="19" spans="1:80" x14ac:dyDescent="0.2">
      <c r="B19" s="22" t="s">
        <v>136</v>
      </c>
      <c r="C19" s="7"/>
      <c r="L19" s="14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80"/>
      <c r="AC19" s="80"/>
      <c r="AD19" s="80"/>
      <c r="AE19" s="80"/>
      <c r="AF19" s="80"/>
      <c r="AG19" s="80"/>
      <c r="AH19" s="80"/>
      <c r="AI19" s="80"/>
      <c r="AJ19" s="80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80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</row>
    <row r="20" spans="1:80" x14ac:dyDescent="0.2">
      <c r="A20" t="s">
        <v>214</v>
      </c>
      <c r="B20" s="8" t="s">
        <v>62</v>
      </c>
      <c r="C20" s="77">
        <f>COUNT(O:O)/D2</f>
        <v>50</v>
      </c>
      <c r="L20" s="14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80"/>
      <c r="AC20" s="80"/>
      <c r="AD20" s="80"/>
      <c r="AE20" s="80"/>
      <c r="AF20" s="80"/>
      <c r="AG20" s="80"/>
      <c r="AH20" s="80"/>
      <c r="AI20" s="80"/>
      <c r="AJ20" s="80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80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</row>
    <row r="21" spans="1:80" x14ac:dyDescent="0.2">
      <c r="B21" s="8" t="s">
        <v>64</v>
      </c>
      <c r="C21" s="7" t="str">
        <f>HLOOKUP("pattern",M38:CZ198,2,FALSE)</f>
        <v>/prefix/:ip/%level2-%06d[2]/%level3-%04d[6]/%level4-%04d[2]/%level5-%040d[100]/%level6-%040d[10]/%leaf7-%06d[5];[0-9]{10,30}</v>
      </c>
      <c r="L21" s="14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80"/>
      <c r="AC21" s="80"/>
      <c r="AD21" s="80"/>
      <c r="AE21" s="80"/>
      <c r="AF21" s="80"/>
      <c r="AG21" s="80"/>
      <c r="AH21" s="80"/>
      <c r="AI21" s="80"/>
      <c r="AJ21" s="80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80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</row>
    <row r="22" spans="1:80" x14ac:dyDescent="0.2">
      <c r="B22" s="26" t="s">
        <v>222</v>
      </c>
      <c r="C22" s="7">
        <f>HLOOKUP("clients",M38:CZ198,2,FALSE)</f>
        <v>20</v>
      </c>
      <c r="L22" s="14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80"/>
      <c r="AC22" s="80"/>
      <c r="AD22" s="80"/>
      <c r="AE22" s="80"/>
      <c r="AF22" s="80"/>
      <c r="AG22" s="80"/>
      <c r="AH22" s="80"/>
      <c r="AI22" s="80"/>
      <c r="AJ22" s="80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80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</row>
    <row r="23" spans="1:80" x14ac:dyDescent="0.2">
      <c r="B23" s="26" t="s">
        <v>223</v>
      </c>
      <c r="C23" s="7">
        <f>HLOOKUP("conns",M38:CZ198,2,FALSE)</f>
        <v>20</v>
      </c>
      <c r="L23" s="14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80"/>
      <c r="AC23" s="80"/>
      <c r="AD23" s="80"/>
      <c r="AE23" s="80"/>
      <c r="AF23" s="80"/>
      <c r="AG23" s="80"/>
      <c r="AH23" s="80"/>
      <c r="AI23" s="80"/>
      <c r="AJ23" s="80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80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</row>
    <row r="24" spans="1:80" x14ac:dyDescent="0.2">
      <c r="B24" s="7" t="s">
        <v>19</v>
      </c>
      <c r="C24" s="7" t="b">
        <f>HLOOKUP("serializable-gets",M38:CZ198,2,FALSE)</f>
        <v>0</v>
      </c>
      <c r="F24" s="5" t="s">
        <v>225</v>
      </c>
      <c r="L24" s="14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80"/>
      <c r="AC24" s="80"/>
      <c r="AD24" s="80"/>
      <c r="AE24" s="80"/>
      <c r="AF24" s="80"/>
      <c r="AG24" s="80"/>
      <c r="AH24" s="80"/>
      <c r="AI24" s="80"/>
      <c r="AJ24" s="80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80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</row>
    <row r="25" spans="1:80" x14ac:dyDescent="0.2">
      <c r="B25" s="8" t="s">
        <v>18</v>
      </c>
      <c r="C25" s="7">
        <f>HLOOKUP("put-rate",M38:CZ198,2,FALSE)</f>
        <v>244316</v>
      </c>
      <c r="D25" t="s">
        <v>217</v>
      </c>
      <c r="F25" t="s">
        <v>227</v>
      </c>
      <c r="L25" s="14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80"/>
      <c r="AC25" s="80"/>
      <c r="AD25" s="80"/>
      <c r="AE25" s="80"/>
      <c r="AF25" s="80"/>
      <c r="AG25" s="80"/>
      <c r="AH25" s="80"/>
      <c r="AI25" s="80"/>
      <c r="AJ25" s="80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80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</row>
    <row r="26" spans="1:80" x14ac:dyDescent="0.2">
      <c r="A26" t="s">
        <v>137</v>
      </c>
      <c r="B26" s="8" t="s">
        <v>67</v>
      </c>
      <c r="C26" s="7">
        <f>HLOOKUP("get-level",M38:CZ198,2,FALSE)</f>
        <v>7</v>
      </c>
      <c r="F26" t="s">
        <v>226</v>
      </c>
      <c r="L26" s="14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80"/>
      <c r="AC26" s="80"/>
      <c r="AD26" s="80"/>
      <c r="AE26" s="80"/>
      <c r="AF26" s="80"/>
      <c r="AG26" s="80"/>
      <c r="AH26" s="80"/>
      <c r="AI26" s="80"/>
      <c r="AJ26" s="80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80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</row>
    <row r="27" spans="1:80" x14ac:dyDescent="0.2">
      <c r="B27" s="8" t="s">
        <v>221</v>
      </c>
      <c r="C27" s="7">
        <f>HLOOKUP("get-rate",M38:CZ198,2,FALSE)</f>
        <v>450000</v>
      </c>
      <c r="L27" s="14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80"/>
      <c r="AC27" s="80"/>
      <c r="AD27" s="80"/>
      <c r="AE27" s="80"/>
      <c r="AF27" s="80"/>
      <c r="AG27" s="80"/>
      <c r="AH27" s="80"/>
      <c r="AI27" s="80"/>
      <c r="AJ27" s="80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80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</row>
    <row r="28" spans="1:80" x14ac:dyDescent="0.2">
      <c r="A28" t="s">
        <v>138</v>
      </c>
      <c r="B28" s="8" t="s">
        <v>68</v>
      </c>
      <c r="C28" s="7">
        <f>HLOOKUP("churn-level",M38:CZ198,2,FALSE)</f>
        <v>5</v>
      </c>
      <c r="L28" s="14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80"/>
      <c r="AC28" s="80"/>
      <c r="AD28" s="80"/>
      <c r="AE28" s="80"/>
      <c r="AF28" s="80"/>
      <c r="AG28" s="80"/>
      <c r="AH28" s="80"/>
      <c r="AI28" s="80"/>
      <c r="AJ28" s="80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80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</row>
    <row r="29" spans="1:80" x14ac:dyDescent="0.2">
      <c r="B29" s="8" t="s">
        <v>69</v>
      </c>
      <c r="C29" s="7">
        <f>HLOOKUP("churn-level-pct",M38:CZ198,2,FALSE)</f>
        <v>5</v>
      </c>
      <c r="L29" s="14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80"/>
      <c r="AC29" s="80"/>
      <c r="AD29" s="80"/>
      <c r="AE29" s="80"/>
      <c r="AF29" s="80"/>
      <c r="AG29" s="80"/>
      <c r="AH29" s="80"/>
      <c r="AI29" s="80"/>
      <c r="AJ29" s="80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80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</row>
    <row r="30" spans="1:80" x14ac:dyDescent="0.2">
      <c r="B30" s="8" t="s">
        <v>220</v>
      </c>
      <c r="C30" s="7">
        <f>HLOOKUP("churn-level-rate",M38:CZ198,2,FALSE)</f>
        <v>250</v>
      </c>
      <c r="D30" t="s">
        <v>217</v>
      </c>
      <c r="L30" s="14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80"/>
      <c r="AC30" s="80"/>
      <c r="AD30" s="80"/>
      <c r="AE30" s="80"/>
      <c r="AF30" s="80"/>
      <c r="AG30" s="80"/>
      <c r="AH30" s="80"/>
      <c r="AI30" s="80"/>
      <c r="AJ30" s="80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80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</row>
    <row r="31" spans="1:80" x14ac:dyDescent="0.2">
      <c r="A31" t="s">
        <v>139</v>
      </c>
      <c r="B31" s="8" t="s">
        <v>219</v>
      </c>
      <c r="C31" s="7">
        <f>HLOOKUP("churn-val-rate",M38:CZ198,2,FALSE)</f>
        <v>7920</v>
      </c>
      <c r="D31" t="s">
        <v>217</v>
      </c>
      <c r="L31" s="14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80"/>
      <c r="AC31" s="80"/>
      <c r="AD31" s="80"/>
      <c r="AE31" s="80"/>
      <c r="AF31" s="80"/>
      <c r="AG31" s="80"/>
      <c r="AH31" s="80"/>
      <c r="AI31" s="80"/>
      <c r="AJ31" s="80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80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</row>
    <row r="32" spans="1:80" x14ac:dyDescent="0.2">
      <c r="A32" t="s">
        <v>174</v>
      </c>
      <c r="B32" s="8" t="s">
        <v>159</v>
      </c>
      <c r="C32" s="7" t="str">
        <f>HLOOKUP("watch-counts-per-level",M38:CZ198,D2+1,FALSE)</f>
        <v>0,0,0,0,0,0,100,0</v>
      </c>
      <c r="L32" s="14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80"/>
      <c r="AC32" s="80"/>
      <c r="AD32" s="80"/>
      <c r="AE32" s="80"/>
      <c r="AF32" s="80"/>
      <c r="AG32" s="80"/>
      <c r="AH32" s="80"/>
      <c r="AI32" s="80"/>
      <c r="AJ32" s="80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80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</row>
    <row r="33" spans="1:80" x14ac:dyDescent="0.2">
      <c r="B33" s="8" t="s">
        <v>218</v>
      </c>
      <c r="C33" s="7" t="str">
        <f>HLOOKUP("watch-prefix-get-interval",M38:CZ198,D2+1,FALSE)</f>
        <v>30s</v>
      </c>
      <c r="L33" s="14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80"/>
      <c r="AC33" s="80"/>
      <c r="AD33" s="80"/>
      <c r="AE33" s="80"/>
      <c r="AF33" s="80"/>
      <c r="AG33" s="80"/>
      <c r="AH33" s="80"/>
      <c r="AI33" s="80"/>
      <c r="AJ33" s="80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80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</row>
    <row r="34" spans="1:80" x14ac:dyDescent="0.2">
      <c r="B34" s="7" t="s">
        <v>161</v>
      </c>
      <c r="C34" s="7" t="b">
        <f>HLOOKUP("watch-with-prefix",M38:CZ198,D2+1,FALSE)</f>
        <v>1</v>
      </c>
      <c r="L34" s="14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80"/>
      <c r="AC34" s="80"/>
      <c r="AD34" s="80"/>
      <c r="AE34" s="80"/>
      <c r="AF34" s="80"/>
      <c r="AG34" s="80"/>
      <c r="AH34" s="80"/>
      <c r="AI34" s="80"/>
      <c r="AJ34" s="80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80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</row>
    <row r="35" spans="1:80" x14ac:dyDescent="0.2">
      <c r="I35" s="2"/>
      <c r="L35" s="14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80"/>
      <c r="AC35" s="80"/>
      <c r="AD35" s="80"/>
      <c r="AE35" s="80"/>
      <c r="AF35" s="80"/>
      <c r="AG35" s="80"/>
      <c r="AH35" s="80"/>
      <c r="AI35" s="80"/>
      <c r="AJ35" s="80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80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</row>
    <row r="36" spans="1:80" x14ac:dyDescent="0.2">
      <c r="L36" s="14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80"/>
      <c r="AC36" s="80"/>
      <c r="AD36" s="80"/>
      <c r="AE36" s="80"/>
      <c r="AF36" s="80"/>
      <c r="AG36" s="80"/>
      <c r="AH36" s="80"/>
      <c r="AI36" s="80"/>
      <c r="AJ36" s="80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80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</row>
    <row r="37" spans="1:80" x14ac:dyDescent="0.2">
      <c r="L37" s="14"/>
      <c r="M37" s="130" t="s">
        <v>228</v>
      </c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79"/>
      <c r="AA37" s="79"/>
      <c r="AB37" s="80"/>
      <c r="AC37" s="80"/>
      <c r="AD37" s="80"/>
      <c r="AE37" s="80"/>
      <c r="AF37" s="80"/>
      <c r="AG37" s="80"/>
      <c r="AH37" s="80"/>
      <c r="AI37" s="80"/>
      <c r="AJ37" s="80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80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</row>
    <row r="38" spans="1:80" x14ac:dyDescent="0.2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M38" s="92" t="s">
        <v>0</v>
      </c>
      <c r="N38" t="s">
        <v>1</v>
      </c>
      <c r="O38" t="s">
        <v>2</v>
      </c>
      <c r="P38" t="s">
        <v>26</v>
      </c>
      <c r="Q38" t="s">
        <v>27</v>
      </c>
      <c r="R38" t="s">
        <v>28</v>
      </c>
      <c r="S38" t="s">
        <v>29</v>
      </c>
      <c r="T38" t="s">
        <v>30</v>
      </c>
      <c r="U38" t="s">
        <v>31</v>
      </c>
      <c r="V38" t="s">
        <v>32</v>
      </c>
      <c r="W38" t="s">
        <v>33</v>
      </c>
      <c r="X38" t="s">
        <v>34</v>
      </c>
      <c r="Y38" t="s">
        <v>35</v>
      </c>
      <c r="Z38" t="s">
        <v>36</v>
      </c>
      <c r="AA38" t="s">
        <v>37</v>
      </c>
      <c r="AB38" s="2" t="s">
        <v>42</v>
      </c>
      <c r="AC38" s="2" t="s">
        <v>43</v>
      </c>
      <c r="AD38" s="2" t="s">
        <v>44</v>
      </c>
      <c r="AE38" s="2" t="s">
        <v>45</v>
      </c>
      <c r="AF38" s="2" t="s">
        <v>46</v>
      </c>
      <c r="AG38" s="2" t="s">
        <v>47</v>
      </c>
      <c r="AH38" s="2" t="s">
        <v>48</v>
      </c>
      <c r="AI38" s="2" t="s">
        <v>49</v>
      </c>
      <c r="AJ38" s="2" t="s">
        <v>50</v>
      </c>
      <c r="AK38" t="s">
        <v>38</v>
      </c>
      <c r="AL38" t="s">
        <v>51</v>
      </c>
      <c r="AM38" t="s">
        <v>52</v>
      </c>
      <c r="AN38" t="s">
        <v>53</v>
      </c>
      <c r="AO38" t="s">
        <v>170</v>
      </c>
      <c r="AP38" t="s">
        <v>171</v>
      </c>
      <c r="AQ38" t="s">
        <v>162</v>
      </c>
      <c r="AR38" t="s">
        <v>163</v>
      </c>
      <c r="AS38" t="s">
        <v>164</v>
      </c>
      <c r="AT38" t="s">
        <v>195</v>
      </c>
      <c r="AU38" t="s">
        <v>196</v>
      </c>
      <c r="AV38" t="s">
        <v>197</v>
      </c>
      <c r="AW38" t="s">
        <v>198</v>
      </c>
      <c r="AX38" t="s">
        <v>199</v>
      </c>
      <c r="AY38" t="s">
        <v>200</v>
      </c>
      <c r="AZ38" t="s">
        <v>201</v>
      </c>
      <c r="BA38" t="s">
        <v>202</v>
      </c>
      <c r="BB38" t="s">
        <v>3</v>
      </c>
      <c r="BC38" t="s">
        <v>4</v>
      </c>
      <c r="BD38" t="s">
        <v>5</v>
      </c>
      <c r="BE38" t="s">
        <v>6</v>
      </c>
      <c r="BF38" t="s">
        <v>7</v>
      </c>
      <c r="BG38" t="s">
        <v>8</v>
      </c>
      <c r="BH38" s="2" t="s">
        <v>9</v>
      </c>
      <c r="BI38" t="s">
        <v>54</v>
      </c>
      <c r="BJ38" t="s">
        <v>10</v>
      </c>
      <c r="BK38" t="s">
        <v>11</v>
      </c>
      <c r="BL38" t="s">
        <v>12</v>
      </c>
      <c r="BM38" t="s">
        <v>13</v>
      </c>
      <c r="BN38" t="s">
        <v>14</v>
      </c>
      <c r="BO38" t="s">
        <v>15</v>
      </c>
      <c r="BP38" t="s">
        <v>16</v>
      </c>
      <c r="BQ38" t="s">
        <v>17</v>
      </c>
      <c r="BR38" t="s">
        <v>18</v>
      </c>
      <c r="BS38" t="s">
        <v>19</v>
      </c>
      <c r="BT38" t="s">
        <v>20</v>
      </c>
      <c r="BU38" t="s">
        <v>21</v>
      </c>
      <c r="BV38" t="s">
        <v>22</v>
      </c>
      <c r="BW38" t="s">
        <v>23</v>
      </c>
      <c r="BX38" t="s">
        <v>24</v>
      </c>
      <c r="BY38" t="s">
        <v>25</v>
      </c>
      <c r="BZ38" t="s">
        <v>159</v>
      </c>
      <c r="CA38" t="s">
        <v>160</v>
      </c>
      <c r="CB38" t="s">
        <v>161</v>
      </c>
    </row>
    <row r="39" spans="1:80" x14ac:dyDescent="0.2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M39" t="s">
        <v>40</v>
      </c>
      <c r="N39" s="1">
        <v>44175.661805555559</v>
      </c>
      <c r="O39">
        <v>9129602</v>
      </c>
      <c r="P39">
        <v>33159</v>
      </c>
      <c r="Q39">
        <v>3.6320000000000001</v>
      </c>
      <c r="R39">
        <v>17675</v>
      </c>
      <c r="S39">
        <v>1.9359999999999999</v>
      </c>
      <c r="T39">
        <v>360</v>
      </c>
      <c r="U39">
        <v>3.9399999999999998E-2</v>
      </c>
      <c r="V39">
        <v>905343</v>
      </c>
      <c r="W39">
        <v>99.165700000000001</v>
      </c>
      <c r="X39">
        <v>938300</v>
      </c>
      <c r="Y39">
        <v>102.7756</v>
      </c>
      <c r="Z39">
        <v>120000</v>
      </c>
      <c r="AA39">
        <v>71</v>
      </c>
      <c r="AB39" s="2">
        <v>54200</v>
      </c>
      <c r="AC39" s="2">
        <v>5407</v>
      </c>
      <c r="AD39" s="2">
        <v>16036752</v>
      </c>
      <c r="AE39" s="2">
        <v>36247</v>
      </c>
      <c r="AF39" s="2">
        <v>6089</v>
      </c>
      <c r="AG39" s="2">
        <v>2347386</v>
      </c>
      <c r="AH39" s="2">
        <v>9442</v>
      </c>
      <c r="AI39" s="2">
        <v>4634</v>
      </c>
      <c r="AJ39" s="2">
        <v>4711562</v>
      </c>
      <c r="AK39">
        <v>0</v>
      </c>
      <c r="AL39" s="2">
        <v>0</v>
      </c>
      <c r="AM39">
        <v>0</v>
      </c>
      <c r="AN39">
        <v>0</v>
      </c>
      <c r="AO39">
        <v>680.85</v>
      </c>
      <c r="AP39">
        <v>18592.509999999998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</v>
      </c>
      <c r="BC39">
        <v>5</v>
      </c>
      <c r="BD39">
        <v>250</v>
      </c>
      <c r="BE39">
        <v>7920</v>
      </c>
      <c r="BF39">
        <v>60</v>
      </c>
      <c r="BG39">
        <v>20</v>
      </c>
      <c r="BH39" s="2">
        <v>20</v>
      </c>
      <c r="BI39" t="b">
        <v>1</v>
      </c>
      <c r="BJ39">
        <v>3</v>
      </c>
      <c r="BK39">
        <v>0</v>
      </c>
      <c r="BM39" t="b">
        <v>1</v>
      </c>
      <c r="BN39" t="b">
        <v>0</v>
      </c>
      <c r="BO39">
        <v>7</v>
      </c>
      <c r="BP39" s="2">
        <v>450000</v>
      </c>
      <c r="BQ39" t="s">
        <v>189</v>
      </c>
      <c r="BR39">
        <v>244316</v>
      </c>
      <c r="BS39" t="b">
        <v>0</v>
      </c>
      <c r="BT39" t="b">
        <v>0</v>
      </c>
      <c r="BU39">
        <v>60</v>
      </c>
      <c r="BV39" t="s">
        <v>39</v>
      </c>
      <c r="BW39">
        <v>0</v>
      </c>
      <c r="BX39" t="s">
        <v>190</v>
      </c>
      <c r="BY39" t="b">
        <v>0</v>
      </c>
      <c r="CA39" t="s">
        <v>165</v>
      </c>
      <c r="CB39" t="b">
        <v>0</v>
      </c>
    </row>
    <row r="40" spans="1:80" x14ac:dyDescent="0.2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M40" t="s">
        <v>40</v>
      </c>
      <c r="N40" s="1">
        <v>44175.641250000001</v>
      </c>
      <c r="O40">
        <v>10903140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120000</v>
      </c>
      <c r="AA40">
        <v>56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>
        <v>0</v>
      </c>
      <c r="AL40" s="2">
        <v>0</v>
      </c>
      <c r="AM40">
        <v>0</v>
      </c>
      <c r="AN40">
        <v>0</v>
      </c>
      <c r="AO40">
        <v>0</v>
      </c>
      <c r="AP40">
        <v>0</v>
      </c>
      <c r="AQ40">
        <v>100</v>
      </c>
      <c r="AR40">
        <v>468</v>
      </c>
      <c r="AS40">
        <v>4.2900000000000001E-2</v>
      </c>
      <c r="AT40">
        <v>174877</v>
      </c>
      <c r="AU40">
        <v>16.039100000000001</v>
      </c>
      <c r="AV40">
        <v>36175</v>
      </c>
      <c r="AW40">
        <v>3.3178999999999998</v>
      </c>
      <c r="AX40">
        <v>138332</v>
      </c>
      <c r="AY40">
        <v>5065</v>
      </c>
      <c r="AZ40">
        <v>52303768</v>
      </c>
      <c r="BA40">
        <v>3001.64</v>
      </c>
      <c r="BB40">
        <v>1</v>
      </c>
      <c r="BC40">
        <v>10</v>
      </c>
      <c r="BD40">
        <v>-1</v>
      </c>
      <c r="BE40">
        <v>-1</v>
      </c>
      <c r="BF40">
        <v>60</v>
      </c>
      <c r="BG40">
        <v>20</v>
      </c>
      <c r="BH40" s="2">
        <v>20</v>
      </c>
      <c r="BI40" t="b">
        <v>1</v>
      </c>
      <c r="BJ40">
        <v>3</v>
      </c>
      <c r="BK40">
        <v>0</v>
      </c>
      <c r="BM40" t="b">
        <v>1</v>
      </c>
      <c r="BN40" t="b">
        <v>0</v>
      </c>
      <c r="BO40">
        <v>1</v>
      </c>
      <c r="BP40">
        <v>-1</v>
      </c>
      <c r="BQ40" t="s">
        <v>189</v>
      </c>
      <c r="BR40">
        <v>244316</v>
      </c>
      <c r="BS40" t="b">
        <v>0</v>
      </c>
      <c r="BT40" t="b">
        <v>1</v>
      </c>
      <c r="BU40">
        <v>60</v>
      </c>
      <c r="BV40" t="s">
        <v>39</v>
      </c>
      <c r="BW40">
        <v>0</v>
      </c>
      <c r="BX40" t="s">
        <v>166</v>
      </c>
      <c r="BY40" t="b">
        <v>0</v>
      </c>
      <c r="BZ40" t="s">
        <v>216</v>
      </c>
      <c r="CA40" t="s">
        <v>213</v>
      </c>
      <c r="CB40" t="b">
        <v>1</v>
      </c>
    </row>
    <row r="41" spans="1:80" x14ac:dyDescent="0.2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M41" t="s">
        <v>40</v>
      </c>
      <c r="N41" s="1">
        <v>44175.661863425928</v>
      </c>
      <c r="O41">
        <v>9129602</v>
      </c>
      <c r="P41">
        <v>33684</v>
      </c>
      <c r="Q41">
        <v>3.6894999999999998</v>
      </c>
      <c r="R41">
        <v>17968</v>
      </c>
      <c r="S41">
        <v>1.9681</v>
      </c>
      <c r="T41">
        <v>360</v>
      </c>
      <c r="U41">
        <v>3.9399999999999998E-2</v>
      </c>
      <c r="V41">
        <v>624797</v>
      </c>
      <c r="W41">
        <v>68.436400000000006</v>
      </c>
      <c r="X41">
        <v>644059</v>
      </c>
      <c r="Y41">
        <v>70.546199999999999</v>
      </c>
      <c r="Z41">
        <v>120000</v>
      </c>
      <c r="AA41">
        <v>0</v>
      </c>
      <c r="AB41" s="2">
        <v>30927</v>
      </c>
      <c r="AC41" s="2">
        <v>5397</v>
      </c>
      <c r="AD41" s="2">
        <v>15644548</v>
      </c>
      <c r="AE41" s="2">
        <v>46449</v>
      </c>
      <c r="AF41" s="2">
        <v>6496</v>
      </c>
      <c r="AG41" s="2">
        <v>3397566</v>
      </c>
      <c r="AH41" s="2">
        <v>14142</v>
      </c>
      <c r="AI41" s="2">
        <v>7331</v>
      </c>
      <c r="AJ41" s="2">
        <v>5195598</v>
      </c>
      <c r="AK41">
        <v>0</v>
      </c>
      <c r="AL41" s="2">
        <v>0</v>
      </c>
      <c r="AM41">
        <v>0</v>
      </c>
      <c r="AN41">
        <v>0</v>
      </c>
      <c r="AO41">
        <v>695.59</v>
      </c>
      <c r="AP41">
        <v>12901.45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5</v>
      </c>
      <c r="BC41">
        <v>5</v>
      </c>
      <c r="BD41">
        <v>250</v>
      </c>
      <c r="BE41">
        <v>7920</v>
      </c>
      <c r="BF41">
        <v>60</v>
      </c>
      <c r="BG41">
        <v>20</v>
      </c>
      <c r="BH41" s="2">
        <v>20</v>
      </c>
      <c r="BI41" t="b">
        <v>1</v>
      </c>
      <c r="BJ41">
        <v>3</v>
      </c>
      <c r="BK41">
        <v>0</v>
      </c>
      <c r="BM41" t="b">
        <v>1</v>
      </c>
      <c r="BN41" t="b">
        <v>0</v>
      </c>
      <c r="BO41">
        <v>7</v>
      </c>
      <c r="BP41" s="2">
        <v>450000</v>
      </c>
      <c r="BQ41" t="s">
        <v>189</v>
      </c>
      <c r="BR41">
        <v>244316</v>
      </c>
      <c r="BS41" t="b">
        <v>0</v>
      </c>
      <c r="BT41" t="b">
        <v>0</v>
      </c>
      <c r="BU41">
        <v>60</v>
      </c>
      <c r="BV41" t="s">
        <v>39</v>
      </c>
      <c r="BW41">
        <v>0</v>
      </c>
      <c r="BX41" t="s">
        <v>190</v>
      </c>
      <c r="BY41" t="b">
        <v>0</v>
      </c>
      <c r="CA41" t="s">
        <v>165</v>
      </c>
      <c r="CB41" t="b">
        <v>0</v>
      </c>
    </row>
    <row r="42" spans="1:80" x14ac:dyDescent="0.2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M42" t="s">
        <v>40</v>
      </c>
      <c r="N42" s="1">
        <v>44175.641250000001</v>
      </c>
      <c r="O42">
        <v>10903352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120000</v>
      </c>
      <c r="AA42">
        <v>107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>
        <v>0</v>
      </c>
      <c r="AL42" s="2">
        <v>0</v>
      </c>
      <c r="AM42">
        <v>0</v>
      </c>
      <c r="AN42">
        <v>0</v>
      </c>
      <c r="AO42">
        <v>0</v>
      </c>
      <c r="AP42">
        <v>0</v>
      </c>
      <c r="AQ42">
        <v>100</v>
      </c>
      <c r="AR42">
        <v>534</v>
      </c>
      <c r="AS42">
        <v>4.9000000000000002E-2</v>
      </c>
      <c r="AT42">
        <v>173642</v>
      </c>
      <c r="AU42">
        <v>15.925599999999999</v>
      </c>
      <c r="AV42">
        <v>36131</v>
      </c>
      <c r="AW42">
        <v>3.3138000000000001</v>
      </c>
      <c r="AX42">
        <v>198988</v>
      </c>
      <c r="AY42">
        <v>5038</v>
      </c>
      <c r="AZ42">
        <v>58800875</v>
      </c>
      <c r="BA42">
        <v>3001.95</v>
      </c>
      <c r="BB42">
        <v>1</v>
      </c>
      <c r="BC42">
        <v>10</v>
      </c>
      <c r="BD42">
        <v>-1</v>
      </c>
      <c r="BE42">
        <v>-1</v>
      </c>
      <c r="BF42">
        <v>60</v>
      </c>
      <c r="BG42">
        <v>20</v>
      </c>
      <c r="BH42" s="2">
        <v>20</v>
      </c>
      <c r="BI42" t="b">
        <v>1</v>
      </c>
      <c r="BJ42">
        <v>3</v>
      </c>
      <c r="BK42">
        <v>0</v>
      </c>
      <c r="BM42" t="b">
        <v>1</v>
      </c>
      <c r="BN42" t="b">
        <v>0</v>
      </c>
      <c r="BO42">
        <v>1</v>
      </c>
      <c r="BP42" s="2">
        <v>-1</v>
      </c>
      <c r="BQ42" t="s">
        <v>189</v>
      </c>
      <c r="BR42">
        <v>244316</v>
      </c>
      <c r="BS42" t="b">
        <v>0</v>
      </c>
      <c r="BT42" t="b">
        <v>1</v>
      </c>
      <c r="BU42">
        <v>60</v>
      </c>
      <c r="BV42" t="s">
        <v>39</v>
      </c>
      <c r="BW42">
        <v>0</v>
      </c>
      <c r="BX42" t="s">
        <v>166</v>
      </c>
      <c r="BY42" t="b">
        <v>0</v>
      </c>
      <c r="BZ42" t="s">
        <v>216</v>
      </c>
      <c r="CA42" t="s">
        <v>213</v>
      </c>
      <c r="CB42" t="b">
        <v>1</v>
      </c>
    </row>
    <row r="43" spans="1:80" x14ac:dyDescent="0.2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M43" t="s">
        <v>40</v>
      </c>
      <c r="N43" s="1">
        <v>44175.661863425928</v>
      </c>
      <c r="O43">
        <v>9129601</v>
      </c>
      <c r="P43">
        <v>33684</v>
      </c>
      <c r="Q43">
        <v>3.6894999999999998</v>
      </c>
      <c r="R43">
        <v>17980</v>
      </c>
      <c r="S43">
        <v>1.9694</v>
      </c>
      <c r="T43">
        <v>360</v>
      </c>
      <c r="U43">
        <v>3.9399999999999998E-2</v>
      </c>
      <c r="V43">
        <v>563788</v>
      </c>
      <c r="W43">
        <v>61.753799999999998</v>
      </c>
      <c r="X43">
        <v>579504</v>
      </c>
      <c r="Y43">
        <v>63.475299999999997</v>
      </c>
      <c r="Z43">
        <v>120000</v>
      </c>
      <c r="AA43">
        <v>21</v>
      </c>
      <c r="AB43" s="2">
        <v>25063</v>
      </c>
      <c r="AC43" s="2">
        <v>5152</v>
      </c>
      <c r="AD43" s="2">
        <v>16205112</v>
      </c>
      <c r="AE43" s="2">
        <v>63618</v>
      </c>
      <c r="AF43" s="2">
        <v>6094</v>
      </c>
      <c r="AG43" s="2">
        <v>5060192</v>
      </c>
      <c r="AH43" s="2">
        <v>15720</v>
      </c>
      <c r="AI43" s="2">
        <v>8296</v>
      </c>
      <c r="AJ43" s="2">
        <v>3913422</v>
      </c>
      <c r="AK43">
        <v>0</v>
      </c>
      <c r="AL43" s="2">
        <v>0</v>
      </c>
      <c r="AM43">
        <v>0</v>
      </c>
      <c r="AN43">
        <v>0</v>
      </c>
      <c r="AO43">
        <v>691.82</v>
      </c>
      <c r="AP43">
        <v>11577.95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</v>
      </c>
      <c r="BC43">
        <v>5</v>
      </c>
      <c r="BD43">
        <v>250</v>
      </c>
      <c r="BE43">
        <v>7920</v>
      </c>
      <c r="BF43">
        <v>60</v>
      </c>
      <c r="BG43">
        <v>20</v>
      </c>
      <c r="BH43" s="2">
        <v>20</v>
      </c>
      <c r="BI43" t="b">
        <v>1</v>
      </c>
      <c r="BJ43">
        <v>3</v>
      </c>
      <c r="BK43">
        <v>0</v>
      </c>
      <c r="BM43" t="b">
        <v>1</v>
      </c>
      <c r="BN43" t="b">
        <v>0</v>
      </c>
      <c r="BO43">
        <v>7</v>
      </c>
      <c r="BP43" s="2">
        <v>450000</v>
      </c>
      <c r="BQ43" t="s">
        <v>189</v>
      </c>
      <c r="BR43">
        <v>244316</v>
      </c>
      <c r="BS43" t="b">
        <v>0</v>
      </c>
      <c r="BT43" t="b">
        <v>0</v>
      </c>
      <c r="BU43">
        <v>60</v>
      </c>
      <c r="BV43" t="s">
        <v>39</v>
      </c>
      <c r="BW43">
        <v>0</v>
      </c>
      <c r="BX43" t="s">
        <v>190</v>
      </c>
      <c r="BY43" t="b">
        <v>0</v>
      </c>
      <c r="CA43" t="s">
        <v>165</v>
      </c>
      <c r="CB43" t="b">
        <v>0</v>
      </c>
    </row>
    <row r="44" spans="1:80" x14ac:dyDescent="0.2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M44" t="s">
        <v>40</v>
      </c>
      <c r="N44" s="1">
        <v>44175.641250000001</v>
      </c>
      <c r="O44">
        <v>10903257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120000</v>
      </c>
      <c r="AA44">
        <v>131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>
        <v>0</v>
      </c>
      <c r="AL44" s="2">
        <v>0</v>
      </c>
      <c r="AM44">
        <v>0</v>
      </c>
      <c r="AN44">
        <v>0</v>
      </c>
      <c r="AO44">
        <v>0</v>
      </c>
      <c r="AP44">
        <v>0</v>
      </c>
      <c r="AQ44">
        <v>100</v>
      </c>
      <c r="AR44">
        <v>538</v>
      </c>
      <c r="AS44">
        <v>4.9299999999999997E-2</v>
      </c>
      <c r="AT44">
        <v>175671</v>
      </c>
      <c r="AU44">
        <v>16.111799999999999</v>
      </c>
      <c r="AV44">
        <v>36108</v>
      </c>
      <c r="AW44">
        <v>3.3117000000000001</v>
      </c>
      <c r="AX44">
        <v>200973</v>
      </c>
      <c r="AY44">
        <v>5206</v>
      </c>
      <c r="AZ44">
        <v>57729825</v>
      </c>
      <c r="BA44">
        <v>3020.57</v>
      </c>
      <c r="BB44">
        <v>1</v>
      </c>
      <c r="BC44">
        <v>10</v>
      </c>
      <c r="BD44">
        <v>-1</v>
      </c>
      <c r="BE44">
        <v>-1</v>
      </c>
      <c r="BF44">
        <v>60</v>
      </c>
      <c r="BG44">
        <v>20</v>
      </c>
      <c r="BH44" s="2">
        <v>20</v>
      </c>
      <c r="BI44" t="b">
        <v>1</v>
      </c>
      <c r="BJ44">
        <v>3</v>
      </c>
      <c r="BK44">
        <v>0</v>
      </c>
      <c r="BM44" t="b">
        <v>1</v>
      </c>
      <c r="BN44" t="b">
        <v>0</v>
      </c>
      <c r="BO44">
        <v>1</v>
      </c>
      <c r="BP44" s="2">
        <v>-1</v>
      </c>
      <c r="BQ44" t="s">
        <v>189</v>
      </c>
      <c r="BR44">
        <v>244316</v>
      </c>
      <c r="BS44" t="b">
        <v>0</v>
      </c>
      <c r="BT44" t="b">
        <v>1</v>
      </c>
      <c r="BU44">
        <v>60</v>
      </c>
      <c r="BV44" t="s">
        <v>39</v>
      </c>
      <c r="BW44">
        <v>0</v>
      </c>
      <c r="BX44" t="s">
        <v>166</v>
      </c>
      <c r="BY44" t="b">
        <v>0</v>
      </c>
      <c r="BZ44" t="s">
        <v>216</v>
      </c>
      <c r="CA44" t="s">
        <v>213</v>
      </c>
      <c r="CB44" t="b">
        <v>1</v>
      </c>
    </row>
    <row r="45" spans="1:80" x14ac:dyDescent="0.2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M45" t="s">
        <v>40</v>
      </c>
      <c r="N45" s="1">
        <v>44175.661805555559</v>
      </c>
      <c r="O45">
        <v>9129601</v>
      </c>
      <c r="P45">
        <v>33663</v>
      </c>
      <c r="Q45">
        <v>3.6871999999999998</v>
      </c>
      <c r="R45">
        <v>14047</v>
      </c>
      <c r="S45">
        <v>1.5386</v>
      </c>
      <c r="T45">
        <v>360</v>
      </c>
      <c r="U45">
        <v>3.9399999999999998E-2</v>
      </c>
      <c r="V45">
        <v>498937</v>
      </c>
      <c r="W45">
        <v>54.650500000000001</v>
      </c>
      <c r="X45">
        <v>645924</v>
      </c>
      <c r="Y45">
        <v>70.750500000000002</v>
      </c>
      <c r="Z45">
        <v>120000</v>
      </c>
      <c r="AA45">
        <v>32</v>
      </c>
      <c r="AB45" s="2">
        <v>32498</v>
      </c>
      <c r="AC45" s="2">
        <v>5540</v>
      </c>
      <c r="AD45" s="2">
        <v>10448923</v>
      </c>
      <c r="AE45" s="2">
        <v>46082</v>
      </c>
      <c r="AF45" s="2">
        <v>6176</v>
      </c>
      <c r="AG45" s="2">
        <v>2604127</v>
      </c>
      <c r="AH45" s="2">
        <v>14113</v>
      </c>
      <c r="AI45" s="2">
        <v>6036</v>
      </c>
      <c r="AJ45" s="2">
        <v>5195572</v>
      </c>
      <c r="AK45">
        <v>0</v>
      </c>
      <c r="AL45" s="2">
        <v>0</v>
      </c>
      <c r="AM45">
        <v>0</v>
      </c>
      <c r="AN45">
        <v>0</v>
      </c>
      <c r="AO45">
        <v>687.57</v>
      </c>
      <c r="AP45">
        <v>10192.629999999999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5</v>
      </c>
      <c r="BC45">
        <v>5</v>
      </c>
      <c r="BD45">
        <v>250</v>
      </c>
      <c r="BE45">
        <v>7920</v>
      </c>
      <c r="BF45">
        <v>60</v>
      </c>
      <c r="BG45">
        <v>20</v>
      </c>
      <c r="BH45" s="2">
        <v>20</v>
      </c>
      <c r="BI45" t="b">
        <v>1</v>
      </c>
      <c r="BJ45">
        <v>3</v>
      </c>
      <c r="BK45">
        <v>0</v>
      </c>
      <c r="BM45" t="b">
        <v>1</v>
      </c>
      <c r="BN45" t="b">
        <v>0</v>
      </c>
      <c r="BO45">
        <v>7</v>
      </c>
      <c r="BP45" s="2">
        <v>450000</v>
      </c>
      <c r="BQ45" t="s">
        <v>189</v>
      </c>
      <c r="BR45">
        <v>244316</v>
      </c>
      <c r="BS45" t="b">
        <v>0</v>
      </c>
      <c r="BT45" t="b">
        <v>0</v>
      </c>
      <c r="BU45">
        <v>60</v>
      </c>
      <c r="BV45" t="s">
        <v>39</v>
      </c>
      <c r="BW45">
        <v>0</v>
      </c>
      <c r="BX45" t="s">
        <v>190</v>
      </c>
      <c r="BY45" t="b">
        <v>0</v>
      </c>
      <c r="CA45" t="s">
        <v>165</v>
      </c>
      <c r="CB45" t="b">
        <v>0</v>
      </c>
    </row>
    <row r="46" spans="1:80" x14ac:dyDescent="0.2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M46" t="s">
        <v>40</v>
      </c>
      <c r="N46" s="1">
        <v>44175.641238425924</v>
      </c>
      <c r="O46">
        <v>10903579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120000</v>
      </c>
      <c r="AA46">
        <v>79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>
        <v>0</v>
      </c>
      <c r="AL46" s="2">
        <v>0</v>
      </c>
      <c r="AM46">
        <v>0</v>
      </c>
      <c r="AN46">
        <v>0</v>
      </c>
      <c r="AO46">
        <v>0</v>
      </c>
      <c r="AP46">
        <v>0</v>
      </c>
      <c r="AQ46">
        <v>100</v>
      </c>
      <c r="AR46">
        <v>512</v>
      </c>
      <c r="AS46">
        <v>4.7E-2</v>
      </c>
      <c r="AT46">
        <v>122354</v>
      </c>
      <c r="AU46">
        <v>11.221500000000001</v>
      </c>
      <c r="AV46">
        <v>36155</v>
      </c>
      <c r="AW46">
        <v>3.3159000000000001</v>
      </c>
      <c r="AX46">
        <v>158103</v>
      </c>
      <c r="AY46">
        <v>5330</v>
      </c>
      <c r="AZ46">
        <v>53852335</v>
      </c>
      <c r="BA46">
        <v>2087.5300000000002</v>
      </c>
      <c r="BB46">
        <v>1</v>
      </c>
      <c r="BC46">
        <v>10</v>
      </c>
      <c r="BD46">
        <v>-1</v>
      </c>
      <c r="BE46">
        <v>-1</v>
      </c>
      <c r="BF46">
        <v>60</v>
      </c>
      <c r="BG46">
        <v>20</v>
      </c>
      <c r="BH46" s="2">
        <v>20</v>
      </c>
      <c r="BI46" t="b">
        <v>1</v>
      </c>
      <c r="BJ46">
        <v>3</v>
      </c>
      <c r="BK46">
        <v>0</v>
      </c>
      <c r="BM46" t="b">
        <v>1</v>
      </c>
      <c r="BN46" t="b">
        <v>0</v>
      </c>
      <c r="BO46">
        <v>1</v>
      </c>
      <c r="BP46" s="2">
        <v>-1</v>
      </c>
      <c r="BQ46" t="s">
        <v>189</v>
      </c>
      <c r="BR46">
        <v>244316</v>
      </c>
      <c r="BS46" t="b">
        <v>0</v>
      </c>
      <c r="BT46" t="b">
        <v>1</v>
      </c>
      <c r="BU46">
        <v>60</v>
      </c>
      <c r="BV46" t="s">
        <v>39</v>
      </c>
      <c r="BW46">
        <v>0</v>
      </c>
      <c r="BX46" t="s">
        <v>166</v>
      </c>
      <c r="BY46" t="b">
        <v>0</v>
      </c>
      <c r="BZ46" t="s">
        <v>216</v>
      </c>
      <c r="CA46" t="s">
        <v>213</v>
      </c>
      <c r="CB46" t="b">
        <v>1</v>
      </c>
    </row>
    <row r="47" spans="1:80" x14ac:dyDescent="0.2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M47" t="s">
        <v>40</v>
      </c>
      <c r="N47" s="1">
        <v>44175.661863425928</v>
      </c>
      <c r="O47">
        <v>9129601</v>
      </c>
      <c r="P47">
        <v>33175</v>
      </c>
      <c r="Q47">
        <v>3.6337999999999999</v>
      </c>
      <c r="R47">
        <v>12645</v>
      </c>
      <c r="S47">
        <v>1.3851</v>
      </c>
      <c r="T47">
        <v>360</v>
      </c>
      <c r="U47">
        <v>3.9399999999999998E-2</v>
      </c>
      <c r="V47">
        <v>362821</v>
      </c>
      <c r="W47">
        <v>39.741199999999999</v>
      </c>
      <c r="X47">
        <v>526620</v>
      </c>
      <c r="Y47">
        <v>57.682699999999997</v>
      </c>
      <c r="Z47">
        <v>120000</v>
      </c>
      <c r="AA47">
        <v>55</v>
      </c>
      <c r="AB47" s="2">
        <v>50641</v>
      </c>
      <c r="AC47" s="2">
        <v>5169</v>
      </c>
      <c r="AD47" s="2">
        <v>16109943</v>
      </c>
      <c r="AE47" s="2">
        <v>59873</v>
      </c>
      <c r="AF47" s="2">
        <v>6210</v>
      </c>
      <c r="AG47" s="2">
        <v>4117766</v>
      </c>
      <c r="AH47" s="2">
        <v>17302</v>
      </c>
      <c r="AI47" s="2">
        <v>6846</v>
      </c>
      <c r="AJ47" s="2">
        <v>21860821</v>
      </c>
      <c r="AK47">
        <v>0</v>
      </c>
      <c r="AL47" s="2">
        <v>0</v>
      </c>
      <c r="AM47">
        <v>0</v>
      </c>
      <c r="AN47">
        <v>0</v>
      </c>
      <c r="AO47">
        <v>681.3</v>
      </c>
      <c r="AP47">
        <v>7450.89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</v>
      </c>
      <c r="BC47">
        <v>5</v>
      </c>
      <c r="BD47">
        <v>250</v>
      </c>
      <c r="BE47">
        <v>7920</v>
      </c>
      <c r="BF47">
        <v>60</v>
      </c>
      <c r="BG47">
        <v>20</v>
      </c>
      <c r="BH47" s="2">
        <v>20</v>
      </c>
      <c r="BI47" t="b">
        <v>1</v>
      </c>
      <c r="BJ47">
        <v>3</v>
      </c>
      <c r="BK47">
        <v>0</v>
      </c>
      <c r="BM47" t="b">
        <v>1</v>
      </c>
      <c r="BN47" t="b">
        <v>0</v>
      </c>
      <c r="BO47">
        <v>7</v>
      </c>
      <c r="BP47" s="2">
        <v>450000</v>
      </c>
      <c r="BQ47" t="s">
        <v>189</v>
      </c>
      <c r="BR47">
        <v>244316</v>
      </c>
      <c r="BS47" t="b">
        <v>0</v>
      </c>
      <c r="BT47" t="b">
        <v>0</v>
      </c>
      <c r="BU47">
        <v>60</v>
      </c>
      <c r="BV47" t="s">
        <v>39</v>
      </c>
      <c r="BW47">
        <v>0</v>
      </c>
      <c r="BX47" t="s">
        <v>190</v>
      </c>
      <c r="BY47" t="b">
        <v>0</v>
      </c>
      <c r="CA47" t="s">
        <v>165</v>
      </c>
      <c r="CB47" t="b">
        <v>0</v>
      </c>
    </row>
    <row r="48" spans="1:80" x14ac:dyDescent="0.2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M48" t="s">
        <v>40</v>
      </c>
      <c r="N48" s="1">
        <v>44175.641238425924</v>
      </c>
      <c r="O48">
        <v>10903471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120000</v>
      </c>
      <c r="AA48">
        <v>130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>
        <v>0</v>
      </c>
      <c r="AL48" s="2">
        <v>0</v>
      </c>
      <c r="AM48">
        <v>0</v>
      </c>
      <c r="AN48">
        <v>0</v>
      </c>
      <c r="AO48">
        <v>0</v>
      </c>
      <c r="AP48">
        <v>0</v>
      </c>
      <c r="AQ48">
        <v>100</v>
      </c>
      <c r="AR48">
        <v>471</v>
      </c>
      <c r="AS48">
        <v>4.3200000000000002E-2</v>
      </c>
      <c r="AT48">
        <v>120813</v>
      </c>
      <c r="AU48">
        <v>11.0802</v>
      </c>
      <c r="AV48">
        <v>36124</v>
      </c>
      <c r="AW48">
        <v>3.3130999999999999</v>
      </c>
      <c r="AX48">
        <v>153303</v>
      </c>
      <c r="AY48">
        <v>5091</v>
      </c>
      <c r="AZ48">
        <v>59939024</v>
      </c>
      <c r="BA48">
        <v>2075.63</v>
      </c>
      <c r="BB48">
        <v>1</v>
      </c>
      <c r="BC48">
        <v>10</v>
      </c>
      <c r="BD48">
        <v>-1</v>
      </c>
      <c r="BE48">
        <v>-1</v>
      </c>
      <c r="BF48">
        <v>60</v>
      </c>
      <c r="BG48">
        <v>20</v>
      </c>
      <c r="BH48" s="2">
        <v>20</v>
      </c>
      <c r="BI48" t="b">
        <v>1</v>
      </c>
      <c r="BJ48">
        <v>3</v>
      </c>
      <c r="BK48">
        <v>0</v>
      </c>
      <c r="BM48" t="b">
        <v>1</v>
      </c>
      <c r="BN48" t="b">
        <v>0</v>
      </c>
      <c r="BO48">
        <v>1</v>
      </c>
      <c r="BP48" s="2">
        <v>-1</v>
      </c>
      <c r="BQ48" t="s">
        <v>189</v>
      </c>
      <c r="BR48">
        <v>244316</v>
      </c>
      <c r="BS48" t="b">
        <v>0</v>
      </c>
      <c r="BT48" t="b">
        <v>1</v>
      </c>
      <c r="BU48">
        <v>60</v>
      </c>
      <c r="BV48" t="s">
        <v>39</v>
      </c>
      <c r="BW48">
        <v>0</v>
      </c>
      <c r="BX48" t="s">
        <v>166</v>
      </c>
      <c r="BY48" t="b">
        <v>0</v>
      </c>
      <c r="BZ48" t="s">
        <v>216</v>
      </c>
      <c r="CA48" t="s">
        <v>213</v>
      </c>
      <c r="CB48" t="b">
        <v>1</v>
      </c>
    </row>
    <row r="49" spans="1:80" x14ac:dyDescent="0.2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M49" t="s">
        <v>40</v>
      </c>
      <c r="N49" s="1">
        <v>44175.661805555559</v>
      </c>
      <c r="O49">
        <v>9129601</v>
      </c>
      <c r="P49">
        <v>33629</v>
      </c>
      <c r="Q49">
        <v>3.6835</v>
      </c>
      <c r="R49">
        <v>17849</v>
      </c>
      <c r="S49">
        <v>1.9551000000000001</v>
      </c>
      <c r="T49">
        <v>360</v>
      </c>
      <c r="U49">
        <v>3.9399999999999998E-2</v>
      </c>
      <c r="V49">
        <v>895824</v>
      </c>
      <c r="W49">
        <v>98.123000000000005</v>
      </c>
      <c r="X49">
        <v>927938</v>
      </c>
      <c r="Y49">
        <v>101.64060000000001</v>
      </c>
      <c r="Z49">
        <v>120000</v>
      </c>
      <c r="AA49">
        <v>65</v>
      </c>
      <c r="AB49" s="2">
        <v>38947</v>
      </c>
      <c r="AC49" s="2">
        <v>5559</v>
      </c>
      <c r="AD49" s="2">
        <v>11820627</v>
      </c>
      <c r="AE49" s="2">
        <v>38669</v>
      </c>
      <c r="AF49" s="2">
        <v>6223</v>
      </c>
      <c r="AG49" s="2">
        <v>2660720</v>
      </c>
      <c r="AH49" s="2">
        <v>9645</v>
      </c>
      <c r="AI49" s="2">
        <v>4628</v>
      </c>
      <c r="AJ49" s="2">
        <v>4712493</v>
      </c>
      <c r="AK49">
        <v>0</v>
      </c>
      <c r="AL49" s="2">
        <v>0</v>
      </c>
      <c r="AM49">
        <v>0</v>
      </c>
      <c r="AN49">
        <v>0</v>
      </c>
      <c r="AO49">
        <v>686.97</v>
      </c>
      <c r="AP49">
        <v>18296.07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</v>
      </c>
      <c r="BC49">
        <v>5</v>
      </c>
      <c r="BD49">
        <v>250</v>
      </c>
      <c r="BE49">
        <v>7920</v>
      </c>
      <c r="BF49">
        <v>60</v>
      </c>
      <c r="BG49">
        <v>20</v>
      </c>
      <c r="BH49" s="2">
        <v>20</v>
      </c>
      <c r="BI49" t="b">
        <v>1</v>
      </c>
      <c r="BJ49">
        <v>3</v>
      </c>
      <c r="BK49">
        <v>0</v>
      </c>
      <c r="BM49" t="b">
        <v>1</v>
      </c>
      <c r="BN49" t="b">
        <v>0</v>
      </c>
      <c r="BO49">
        <v>7</v>
      </c>
      <c r="BP49" s="2">
        <v>450000</v>
      </c>
      <c r="BQ49" t="s">
        <v>189</v>
      </c>
      <c r="BR49">
        <v>244316</v>
      </c>
      <c r="BS49" t="b">
        <v>0</v>
      </c>
      <c r="BT49" t="b">
        <v>0</v>
      </c>
      <c r="BU49">
        <v>60</v>
      </c>
      <c r="BV49" t="s">
        <v>39</v>
      </c>
      <c r="BW49">
        <v>0</v>
      </c>
      <c r="BX49" t="s">
        <v>190</v>
      </c>
      <c r="BY49" t="b">
        <v>0</v>
      </c>
      <c r="CA49" t="s">
        <v>165</v>
      </c>
      <c r="CB49" t="b">
        <v>0</v>
      </c>
    </row>
    <row r="50" spans="1:80" x14ac:dyDescent="0.2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M50" t="s">
        <v>40</v>
      </c>
      <c r="N50" s="1">
        <v>44175.641250000001</v>
      </c>
      <c r="O50">
        <v>10903329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120000</v>
      </c>
      <c r="AA50">
        <v>104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>
        <v>0</v>
      </c>
      <c r="AL50" s="2">
        <v>0</v>
      </c>
      <c r="AM50">
        <v>0</v>
      </c>
      <c r="AN50">
        <v>0</v>
      </c>
      <c r="AO50">
        <v>0</v>
      </c>
      <c r="AP50">
        <v>0</v>
      </c>
      <c r="AQ50">
        <v>100</v>
      </c>
      <c r="AR50">
        <v>476</v>
      </c>
      <c r="AS50">
        <v>4.3700000000000003E-2</v>
      </c>
      <c r="AT50">
        <v>176356</v>
      </c>
      <c r="AU50">
        <v>16.174499999999998</v>
      </c>
      <c r="AV50">
        <v>36137</v>
      </c>
      <c r="AW50">
        <v>3.3142999999999998</v>
      </c>
      <c r="AX50">
        <v>177246</v>
      </c>
      <c r="AY50">
        <v>5294</v>
      </c>
      <c r="AZ50">
        <v>55822237</v>
      </c>
      <c r="BA50">
        <v>3013.25</v>
      </c>
      <c r="BB50">
        <v>1</v>
      </c>
      <c r="BC50">
        <v>10</v>
      </c>
      <c r="BD50">
        <v>-1</v>
      </c>
      <c r="BE50">
        <v>-1</v>
      </c>
      <c r="BF50">
        <v>60</v>
      </c>
      <c r="BG50">
        <v>20</v>
      </c>
      <c r="BH50" s="2">
        <v>20</v>
      </c>
      <c r="BI50" t="b">
        <v>1</v>
      </c>
      <c r="BJ50">
        <v>3</v>
      </c>
      <c r="BK50">
        <v>0</v>
      </c>
      <c r="BM50" t="b">
        <v>1</v>
      </c>
      <c r="BN50" t="b">
        <v>0</v>
      </c>
      <c r="BO50">
        <v>1</v>
      </c>
      <c r="BP50" s="2">
        <v>-1</v>
      </c>
      <c r="BQ50" t="s">
        <v>189</v>
      </c>
      <c r="BR50">
        <v>244316</v>
      </c>
      <c r="BS50" t="b">
        <v>0</v>
      </c>
      <c r="BT50" t="b">
        <v>1</v>
      </c>
      <c r="BU50">
        <v>60</v>
      </c>
      <c r="BV50" t="s">
        <v>39</v>
      </c>
      <c r="BW50">
        <v>0</v>
      </c>
      <c r="BX50" t="s">
        <v>166</v>
      </c>
      <c r="BY50" t="b">
        <v>0</v>
      </c>
      <c r="BZ50" t="s">
        <v>216</v>
      </c>
      <c r="CA50" t="s">
        <v>213</v>
      </c>
      <c r="CB50" t="b">
        <v>1</v>
      </c>
    </row>
    <row r="51" spans="1:80" x14ac:dyDescent="0.2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M51" t="s">
        <v>40</v>
      </c>
      <c r="N51" s="1">
        <v>44175.661805555559</v>
      </c>
      <c r="O51">
        <v>9129601</v>
      </c>
      <c r="P51">
        <v>33631</v>
      </c>
      <c r="Q51">
        <v>3.6837</v>
      </c>
      <c r="R51">
        <v>17901</v>
      </c>
      <c r="S51">
        <v>1.9608000000000001</v>
      </c>
      <c r="T51">
        <v>360</v>
      </c>
      <c r="U51">
        <v>3.9399999999999998E-2</v>
      </c>
      <c r="V51">
        <v>899490</v>
      </c>
      <c r="W51">
        <v>98.524600000000007</v>
      </c>
      <c r="X51">
        <v>925978</v>
      </c>
      <c r="Y51">
        <v>101.4259</v>
      </c>
      <c r="Z51">
        <v>120000</v>
      </c>
      <c r="AA51">
        <v>67</v>
      </c>
      <c r="AB51" s="2">
        <v>39854</v>
      </c>
      <c r="AC51" s="2">
        <v>5457</v>
      </c>
      <c r="AD51" s="2">
        <v>11297897</v>
      </c>
      <c r="AE51" s="2">
        <v>41791</v>
      </c>
      <c r="AF51" s="2">
        <v>6610</v>
      </c>
      <c r="AG51" s="2">
        <v>2309386</v>
      </c>
      <c r="AH51" s="2">
        <v>9686</v>
      </c>
      <c r="AI51" s="2">
        <v>4728</v>
      </c>
      <c r="AJ51" s="2">
        <v>4711811</v>
      </c>
      <c r="AK51">
        <v>0</v>
      </c>
      <c r="AL51" s="2">
        <v>0</v>
      </c>
      <c r="AM51">
        <v>0</v>
      </c>
      <c r="AN51">
        <v>0</v>
      </c>
      <c r="AO51">
        <v>690.66</v>
      </c>
      <c r="AP51">
        <v>18472.900000000001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</v>
      </c>
      <c r="BC51">
        <v>5</v>
      </c>
      <c r="BD51">
        <v>250</v>
      </c>
      <c r="BE51">
        <v>7920</v>
      </c>
      <c r="BF51">
        <v>60</v>
      </c>
      <c r="BG51">
        <v>20</v>
      </c>
      <c r="BH51" s="2">
        <v>20</v>
      </c>
      <c r="BI51" t="b">
        <v>1</v>
      </c>
      <c r="BJ51">
        <v>3</v>
      </c>
      <c r="BK51">
        <v>0</v>
      </c>
      <c r="BM51" t="b">
        <v>1</v>
      </c>
      <c r="BN51" t="b">
        <v>0</v>
      </c>
      <c r="BO51">
        <v>7</v>
      </c>
      <c r="BP51" s="2">
        <v>450000</v>
      </c>
      <c r="BQ51" t="s">
        <v>189</v>
      </c>
      <c r="BR51">
        <v>244316</v>
      </c>
      <c r="BS51" t="b">
        <v>0</v>
      </c>
      <c r="BT51" t="b">
        <v>0</v>
      </c>
      <c r="BU51">
        <v>60</v>
      </c>
      <c r="BV51" t="s">
        <v>39</v>
      </c>
      <c r="BW51">
        <v>0</v>
      </c>
      <c r="BX51" t="s">
        <v>190</v>
      </c>
      <c r="BY51" t="b">
        <v>0</v>
      </c>
      <c r="CA51" t="s">
        <v>165</v>
      </c>
      <c r="CB51" t="b">
        <v>0</v>
      </c>
    </row>
    <row r="52" spans="1:80" x14ac:dyDescent="0.2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M52" t="s">
        <v>40</v>
      </c>
      <c r="N52" s="1">
        <v>44175.641238425924</v>
      </c>
      <c r="O52">
        <v>10903382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120000</v>
      </c>
      <c r="AA52">
        <v>56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>
        <v>0</v>
      </c>
      <c r="AL52" s="2">
        <v>0</v>
      </c>
      <c r="AM52">
        <v>0</v>
      </c>
      <c r="AN52">
        <v>0</v>
      </c>
      <c r="AO52">
        <v>0</v>
      </c>
      <c r="AP52">
        <v>0</v>
      </c>
      <c r="AQ52">
        <v>100</v>
      </c>
      <c r="AR52">
        <v>463</v>
      </c>
      <c r="AS52">
        <v>4.2500000000000003E-2</v>
      </c>
      <c r="AT52">
        <v>175657</v>
      </c>
      <c r="AU52">
        <v>16.110299999999999</v>
      </c>
      <c r="AV52">
        <v>36181</v>
      </c>
      <c r="AW52">
        <v>3.3182999999999998</v>
      </c>
      <c r="AX52">
        <v>186231</v>
      </c>
      <c r="AY52">
        <v>5345</v>
      </c>
      <c r="AZ52">
        <v>54897554</v>
      </c>
      <c r="BA52">
        <v>3014.46</v>
      </c>
      <c r="BB52">
        <v>1</v>
      </c>
      <c r="BC52">
        <v>10</v>
      </c>
      <c r="BD52">
        <v>-1</v>
      </c>
      <c r="BE52">
        <v>-1</v>
      </c>
      <c r="BF52">
        <v>60</v>
      </c>
      <c r="BG52">
        <v>20</v>
      </c>
      <c r="BH52" s="2">
        <v>20</v>
      </c>
      <c r="BI52" t="b">
        <v>1</v>
      </c>
      <c r="BJ52">
        <v>3</v>
      </c>
      <c r="BK52">
        <v>0</v>
      </c>
      <c r="BM52" t="b">
        <v>1</v>
      </c>
      <c r="BN52" t="b">
        <v>0</v>
      </c>
      <c r="BO52">
        <v>1</v>
      </c>
      <c r="BP52" s="2">
        <v>-1</v>
      </c>
      <c r="BQ52" t="s">
        <v>189</v>
      </c>
      <c r="BR52">
        <v>244316</v>
      </c>
      <c r="BS52" t="b">
        <v>0</v>
      </c>
      <c r="BT52" t="b">
        <v>1</v>
      </c>
      <c r="BU52">
        <v>60</v>
      </c>
      <c r="BV52" t="s">
        <v>39</v>
      </c>
      <c r="BW52">
        <v>0</v>
      </c>
      <c r="BX52" t="s">
        <v>166</v>
      </c>
      <c r="BY52" t="b">
        <v>0</v>
      </c>
      <c r="BZ52" t="s">
        <v>216</v>
      </c>
      <c r="CA52" t="s">
        <v>213</v>
      </c>
      <c r="CB52" t="b">
        <v>1</v>
      </c>
    </row>
    <row r="53" spans="1:80" x14ac:dyDescent="0.2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M53" t="s">
        <v>40</v>
      </c>
      <c r="N53" s="1">
        <v>44175.661863425928</v>
      </c>
      <c r="O53">
        <v>9129601</v>
      </c>
      <c r="P53">
        <v>33677</v>
      </c>
      <c r="Q53">
        <v>3.6888000000000001</v>
      </c>
      <c r="R53">
        <v>17819</v>
      </c>
      <c r="S53">
        <v>1.9518</v>
      </c>
      <c r="T53">
        <v>360</v>
      </c>
      <c r="U53">
        <v>3.9399999999999998E-2</v>
      </c>
      <c r="V53">
        <v>847076</v>
      </c>
      <c r="W53">
        <v>92.783500000000004</v>
      </c>
      <c r="X53">
        <v>877713</v>
      </c>
      <c r="Y53">
        <v>96.139200000000002</v>
      </c>
      <c r="Z53">
        <v>120000</v>
      </c>
      <c r="AA53">
        <v>31</v>
      </c>
      <c r="AB53" s="2">
        <v>21584</v>
      </c>
      <c r="AC53" s="2">
        <v>5351</v>
      </c>
      <c r="AD53" s="2">
        <v>13200990</v>
      </c>
      <c r="AE53" s="2">
        <v>53606</v>
      </c>
      <c r="AF53" s="2">
        <v>6166</v>
      </c>
      <c r="AG53" s="2">
        <v>4806562</v>
      </c>
      <c r="AH53" s="2">
        <v>10372</v>
      </c>
      <c r="AI53" s="2">
        <v>6357</v>
      </c>
      <c r="AJ53" s="2">
        <v>4711736</v>
      </c>
      <c r="AK53">
        <v>0</v>
      </c>
      <c r="AL53" s="2">
        <v>0</v>
      </c>
      <c r="AM53">
        <v>0</v>
      </c>
      <c r="AN53">
        <v>0</v>
      </c>
      <c r="AO53">
        <v>695.58</v>
      </c>
      <c r="AP53">
        <v>17490.41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</v>
      </c>
      <c r="BC53">
        <v>5</v>
      </c>
      <c r="BD53">
        <v>250</v>
      </c>
      <c r="BE53">
        <v>7920</v>
      </c>
      <c r="BF53">
        <v>60</v>
      </c>
      <c r="BG53">
        <v>20</v>
      </c>
      <c r="BH53" s="2">
        <v>20</v>
      </c>
      <c r="BI53" t="b">
        <v>1</v>
      </c>
      <c r="BJ53">
        <v>3</v>
      </c>
      <c r="BK53">
        <v>0</v>
      </c>
      <c r="BM53" t="b">
        <v>1</v>
      </c>
      <c r="BN53" t="b">
        <v>0</v>
      </c>
      <c r="BO53">
        <v>7</v>
      </c>
      <c r="BP53" s="2">
        <v>450000</v>
      </c>
      <c r="BQ53" t="s">
        <v>189</v>
      </c>
      <c r="BR53">
        <v>244316</v>
      </c>
      <c r="BS53" t="b">
        <v>0</v>
      </c>
      <c r="BT53" t="b">
        <v>0</v>
      </c>
      <c r="BU53">
        <v>60</v>
      </c>
      <c r="BV53" t="s">
        <v>39</v>
      </c>
      <c r="BW53">
        <v>0</v>
      </c>
      <c r="BX53" t="s">
        <v>190</v>
      </c>
      <c r="BY53" t="b">
        <v>0</v>
      </c>
      <c r="CA53" t="s">
        <v>165</v>
      </c>
      <c r="CB53" t="b">
        <v>0</v>
      </c>
    </row>
    <row r="54" spans="1:80" x14ac:dyDescent="0.2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M54" t="s">
        <v>40</v>
      </c>
      <c r="N54" s="1">
        <v>44175.641238425924</v>
      </c>
      <c r="O54">
        <v>10903460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120000</v>
      </c>
      <c r="AA54">
        <v>152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>
        <v>0</v>
      </c>
      <c r="AL54" s="2">
        <v>0</v>
      </c>
      <c r="AM54">
        <v>0</v>
      </c>
      <c r="AN54">
        <v>0</v>
      </c>
      <c r="AO54">
        <v>0</v>
      </c>
      <c r="AP54">
        <v>0</v>
      </c>
      <c r="AQ54">
        <v>100</v>
      </c>
      <c r="AR54">
        <v>464</v>
      </c>
      <c r="AS54">
        <v>4.2599999999999999E-2</v>
      </c>
      <c r="AT54">
        <v>175295</v>
      </c>
      <c r="AU54">
        <v>16.077000000000002</v>
      </c>
      <c r="AV54">
        <v>36079</v>
      </c>
      <c r="AW54">
        <v>3.3089</v>
      </c>
      <c r="AX54">
        <v>142512</v>
      </c>
      <c r="AY54">
        <v>5542</v>
      </c>
      <c r="AZ54">
        <v>57443132</v>
      </c>
      <c r="BA54">
        <v>3031.07</v>
      </c>
      <c r="BB54">
        <v>1</v>
      </c>
      <c r="BC54">
        <v>10</v>
      </c>
      <c r="BD54">
        <v>-1</v>
      </c>
      <c r="BE54">
        <v>-1</v>
      </c>
      <c r="BF54">
        <v>60</v>
      </c>
      <c r="BG54">
        <v>20</v>
      </c>
      <c r="BH54" s="2">
        <v>20</v>
      </c>
      <c r="BI54" t="b">
        <v>1</v>
      </c>
      <c r="BJ54">
        <v>3</v>
      </c>
      <c r="BK54">
        <v>0</v>
      </c>
      <c r="BM54" t="b">
        <v>1</v>
      </c>
      <c r="BN54" t="b">
        <v>0</v>
      </c>
      <c r="BO54">
        <v>1</v>
      </c>
      <c r="BP54" s="2">
        <v>-1</v>
      </c>
      <c r="BQ54" t="s">
        <v>189</v>
      </c>
      <c r="BR54">
        <v>244316</v>
      </c>
      <c r="BS54" t="b">
        <v>0</v>
      </c>
      <c r="BT54" t="b">
        <v>1</v>
      </c>
      <c r="BU54">
        <v>60</v>
      </c>
      <c r="BV54" t="s">
        <v>39</v>
      </c>
      <c r="BW54">
        <v>0</v>
      </c>
      <c r="BX54" t="s">
        <v>166</v>
      </c>
      <c r="BY54" t="b">
        <v>0</v>
      </c>
      <c r="BZ54" t="s">
        <v>216</v>
      </c>
      <c r="CA54" t="s">
        <v>213</v>
      </c>
      <c r="CB54" t="b">
        <v>1</v>
      </c>
    </row>
    <row r="55" spans="1:80" x14ac:dyDescent="0.2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M55" t="s">
        <v>40</v>
      </c>
      <c r="N55" s="1">
        <v>44175.661805555559</v>
      </c>
      <c r="O55">
        <v>9129601</v>
      </c>
      <c r="P55">
        <v>33180</v>
      </c>
      <c r="Q55">
        <v>3.6343000000000001</v>
      </c>
      <c r="R55">
        <v>17893</v>
      </c>
      <c r="S55">
        <v>1.9599</v>
      </c>
      <c r="T55">
        <v>360</v>
      </c>
      <c r="U55">
        <v>3.9399999999999998E-2</v>
      </c>
      <c r="V55">
        <v>502068</v>
      </c>
      <c r="W55">
        <v>54.993400000000001</v>
      </c>
      <c r="X55">
        <v>517565</v>
      </c>
      <c r="Y55">
        <v>56.690899999999999</v>
      </c>
      <c r="Z55">
        <v>120000</v>
      </c>
      <c r="AA55">
        <v>60</v>
      </c>
      <c r="AB55" s="2">
        <v>67620</v>
      </c>
      <c r="AC55" s="2">
        <v>4079</v>
      </c>
      <c r="AD55" s="2">
        <v>16037064</v>
      </c>
      <c r="AE55" s="2">
        <v>108628</v>
      </c>
      <c r="AF55" s="2">
        <v>4889</v>
      </c>
      <c r="AG55" s="2">
        <v>4172663</v>
      </c>
      <c r="AH55" s="2">
        <v>17615</v>
      </c>
      <c r="AI55" s="2">
        <v>6766</v>
      </c>
      <c r="AJ55" s="2">
        <v>21860329</v>
      </c>
      <c r="AK55">
        <v>0</v>
      </c>
      <c r="AL55" s="2">
        <v>0</v>
      </c>
      <c r="AM55">
        <v>0</v>
      </c>
      <c r="AN55">
        <v>0</v>
      </c>
      <c r="AO55">
        <v>685.34</v>
      </c>
      <c r="AP55">
        <v>10366.84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</v>
      </c>
      <c r="BC55">
        <v>5</v>
      </c>
      <c r="BD55">
        <v>250</v>
      </c>
      <c r="BE55">
        <v>7920</v>
      </c>
      <c r="BF55">
        <v>60</v>
      </c>
      <c r="BG55">
        <v>20</v>
      </c>
      <c r="BH55" s="2">
        <v>20</v>
      </c>
      <c r="BI55" t="b">
        <v>1</v>
      </c>
      <c r="BJ55">
        <v>3</v>
      </c>
      <c r="BK55">
        <v>0</v>
      </c>
      <c r="BM55" t="b">
        <v>1</v>
      </c>
      <c r="BN55" t="b">
        <v>0</v>
      </c>
      <c r="BO55">
        <v>7</v>
      </c>
      <c r="BP55" s="2">
        <v>450000</v>
      </c>
      <c r="BQ55" t="s">
        <v>189</v>
      </c>
      <c r="BR55">
        <v>244316</v>
      </c>
      <c r="BS55" t="b">
        <v>0</v>
      </c>
      <c r="BT55" t="b">
        <v>0</v>
      </c>
      <c r="BU55">
        <v>60</v>
      </c>
      <c r="BV55" t="s">
        <v>39</v>
      </c>
      <c r="BW55">
        <v>0</v>
      </c>
      <c r="BX55" t="s">
        <v>190</v>
      </c>
      <c r="BY55" t="b">
        <v>0</v>
      </c>
      <c r="CA55" t="s">
        <v>165</v>
      </c>
      <c r="CB55" t="b">
        <v>0</v>
      </c>
    </row>
    <row r="56" spans="1:80" x14ac:dyDescent="0.2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M56" t="s">
        <v>40</v>
      </c>
      <c r="N56" s="1">
        <v>44175.641238425924</v>
      </c>
      <c r="O56">
        <v>10903454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120000</v>
      </c>
      <c r="AA56">
        <v>131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>
        <v>0</v>
      </c>
      <c r="AL56" s="2">
        <v>0</v>
      </c>
      <c r="AM56">
        <v>0</v>
      </c>
      <c r="AN56">
        <v>0</v>
      </c>
      <c r="AO56">
        <v>0</v>
      </c>
      <c r="AP56">
        <v>0</v>
      </c>
      <c r="AQ56">
        <v>100</v>
      </c>
      <c r="AR56">
        <v>461</v>
      </c>
      <c r="AS56">
        <v>4.2299999999999997E-2</v>
      </c>
      <c r="AT56">
        <v>175967</v>
      </c>
      <c r="AU56">
        <v>16.1386</v>
      </c>
      <c r="AV56">
        <v>36105</v>
      </c>
      <c r="AW56">
        <v>3.3113000000000001</v>
      </c>
      <c r="AX56">
        <v>191050</v>
      </c>
      <c r="AY56">
        <v>3709</v>
      </c>
      <c r="AZ56">
        <v>57933640</v>
      </c>
      <c r="BA56">
        <v>3047.22</v>
      </c>
      <c r="BB56">
        <v>1</v>
      </c>
      <c r="BC56">
        <v>10</v>
      </c>
      <c r="BD56">
        <v>-1</v>
      </c>
      <c r="BE56">
        <v>-1</v>
      </c>
      <c r="BF56">
        <v>60</v>
      </c>
      <c r="BG56">
        <v>20</v>
      </c>
      <c r="BH56" s="2">
        <v>20</v>
      </c>
      <c r="BI56" t="b">
        <v>1</v>
      </c>
      <c r="BJ56">
        <v>3</v>
      </c>
      <c r="BK56">
        <v>0</v>
      </c>
      <c r="BM56" t="b">
        <v>1</v>
      </c>
      <c r="BN56" t="b">
        <v>0</v>
      </c>
      <c r="BO56">
        <v>1</v>
      </c>
      <c r="BP56" s="2">
        <v>-1</v>
      </c>
      <c r="BQ56" t="s">
        <v>189</v>
      </c>
      <c r="BR56">
        <v>244316</v>
      </c>
      <c r="BS56" t="b">
        <v>0</v>
      </c>
      <c r="BT56" t="b">
        <v>1</v>
      </c>
      <c r="BU56">
        <v>60</v>
      </c>
      <c r="BV56" t="s">
        <v>39</v>
      </c>
      <c r="BW56">
        <v>0</v>
      </c>
      <c r="BX56" t="s">
        <v>166</v>
      </c>
      <c r="BY56" t="b">
        <v>0</v>
      </c>
      <c r="BZ56" t="s">
        <v>216</v>
      </c>
      <c r="CA56" t="s">
        <v>213</v>
      </c>
      <c r="CB56" t="b">
        <v>1</v>
      </c>
    </row>
    <row r="57" spans="1:80" x14ac:dyDescent="0.2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M57" t="s">
        <v>40</v>
      </c>
      <c r="N57" s="1">
        <v>44175.661805555559</v>
      </c>
      <c r="O57">
        <v>9129603</v>
      </c>
      <c r="P57">
        <v>33653</v>
      </c>
      <c r="Q57">
        <v>3.6861000000000002</v>
      </c>
      <c r="R57">
        <v>17877</v>
      </c>
      <c r="S57">
        <v>1.9581</v>
      </c>
      <c r="T57">
        <v>360</v>
      </c>
      <c r="U57">
        <v>3.9399999999999998E-2</v>
      </c>
      <c r="V57">
        <v>624616</v>
      </c>
      <c r="W57">
        <v>68.416600000000003</v>
      </c>
      <c r="X57">
        <v>646241</v>
      </c>
      <c r="Y57">
        <v>70.785200000000003</v>
      </c>
      <c r="Z57">
        <v>120000</v>
      </c>
      <c r="AA57">
        <v>42</v>
      </c>
      <c r="AB57" s="2">
        <v>37364</v>
      </c>
      <c r="AC57" s="2">
        <v>5623</v>
      </c>
      <c r="AD57" s="2">
        <v>11114801</v>
      </c>
      <c r="AE57" s="2">
        <v>58988</v>
      </c>
      <c r="AF57" s="2">
        <v>6403</v>
      </c>
      <c r="AG57" s="2">
        <v>5897142</v>
      </c>
      <c r="AH57" s="2">
        <v>14083</v>
      </c>
      <c r="AI57" s="2">
        <v>6206</v>
      </c>
      <c r="AJ57" s="2">
        <v>5201805</v>
      </c>
      <c r="AK57">
        <v>0</v>
      </c>
      <c r="AL57" s="2">
        <v>0</v>
      </c>
      <c r="AM57">
        <v>0</v>
      </c>
      <c r="AN57">
        <v>0</v>
      </c>
      <c r="AO57">
        <v>687.53</v>
      </c>
      <c r="AP57">
        <v>12757.92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</v>
      </c>
      <c r="BC57">
        <v>5</v>
      </c>
      <c r="BD57">
        <v>250</v>
      </c>
      <c r="BE57">
        <v>7920</v>
      </c>
      <c r="BF57">
        <v>60</v>
      </c>
      <c r="BG57">
        <v>20</v>
      </c>
      <c r="BH57" s="2">
        <v>20</v>
      </c>
      <c r="BI57" t="b">
        <v>1</v>
      </c>
      <c r="BJ57">
        <v>3</v>
      </c>
      <c r="BK57">
        <v>0</v>
      </c>
      <c r="BM57" t="b">
        <v>1</v>
      </c>
      <c r="BN57" t="b">
        <v>0</v>
      </c>
      <c r="BO57">
        <v>7</v>
      </c>
      <c r="BP57" s="2">
        <v>450000</v>
      </c>
      <c r="BQ57" t="s">
        <v>189</v>
      </c>
      <c r="BR57">
        <v>244316</v>
      </c>
      <c r="BS57" t="b">
        <v>0</v>
      </c>
      <c r="BT57" t="b">
        <v>0</v>
      </c>
      <c r="BU57">
        <v>60</v>
      </c>
      <c r="BV57" t="s">
        <v>39</v>
      </c>
      <c r="BW57">
        <v>0</v>
      </c>
      <c r="BX57" t="s">
        <v>190</v>
      </c>
      <c r="BY57" t="b">
        <v>0</v>
      </c>
      <c r="CA57" t="s">
        <v>165</v>
      </c>
      <c r="CB57" t="b">
        <v>0</v>
      </c>
    </row>
    <row r="58" spans="1:80" x14ac:dyDescent="0.2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M58" t="s">
        <v>40</v>
      </c>
      <c r="N58" s="1">
        <v>44175.641238425924</v>
      </c>
      <c r="O58">
        <v>10903453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120000</v>
      </c>
      <c r="AA58">
        <v>157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>
        <v>0</v>
      </c>
      <c r="AL58" s="2">
        <v>0</v>
      </c>
      <c r="AM58">
        <v>0</v>
      </c>
      <c r="AN58">
        <v>0</v>
      </c>
      <c r="AO58">
        <v>0</v>
      </c>
      <c r="AP58">
        <v>0</v>
      </c>
      <c r="AQ58">
        <v>100</v>
      </c>
      <c r="AR58">
        <v>506</v>
      </c>
      <c r="AS58">
        <v>4.6399999999999997E-2</v>
      </c>
      <c r="AT58">
        <v>173106</v>
      </c>
      <c r="AU58">
        <v>15.876300000000001</v>
      </c>
      <c r="AV58">
        <v>36085</v>
      </c>
      <c r="AW58">
        <v>3.3094999999999999</v>
      </c>
      <c r="AX58">
        <v>163225</v>
      </c>
      <c r="AY58">
        <v>5492</v>
      </c>
      <c r="AZ58">
        <v>57401439</v>
      </c>
      <c r="BA58">
        <v>2963.46</v>
      </c>
      <c r="BB58">
        <v>1</v>
      </c>
      <c r="BC58">
        <v>10</v>
      </c>
      <c r="BD58">
        <v>-1</v>
      </c>
      <c r="BE58">
        <v>-1</v>
      </c>
      <c r="BF58">
        <v>60</v>
      </c>
      <c r="BG58">
        <v>20</v>
      </c>
      <c r="BH58" s="2">
        <v>20</v>
      </c>
      <c r="BI58" t="b">
        <v>1</v>
      </c>
      <c r="BJ58">
        <v>3</v>
      </c>
      <c r="BK58">
        <v>0</v>
      </c>
      <c r="BM58" t="b">
        <v>1</v>
      </c>
      <c r="BN58" t="b">
        <v>0</v>
      </c>
      <c r="BO58">
        <v>1</v>
      </c>
      <c r="BP58" s="2">
        <v>-1</v>
      </c>
      <c r="BQ58" t="s">
        <v>189</v>
      </c>
      <c r="BR58">
        <v>244316</v>
      </c>
      <c r="BS58" t="b">
        <v>0</v>
      </c>
      <c r="BT58" t="b">
        <v>1</v>
      </c>
      <c r="BU58">
        <v>60</v>
      </c>
      <c r="BV58" t="s">
        <v>39</v>
      </c>
      <c r="BW58">
        <v>0</v>
      </c>
      <c r="BX58" t="s">
        <v>166</v>
      </c>
      <c r="BY58" t="b">
        <v>0</v>
      </c>
      <c r="BZ58" t="s">
        <v>216</v>
      </c>
      <c r="CA58" t="s">
        <v>213</v>
      </c>
      <c r="CB58" t="b">
        <v>1</v>
      </c>
    </row>
    <row r="59" spans="1:80" x14ac:dyDescent="0.2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M59" t="s">
        <v>40</v>
      </c>
      <c r="N59" s="1">
        <v>44175.661863425928</v>
      </c>
      <c r="O59">
        <v>9129601</v>
      </c>
      <c r="P59">
        <v>33672</v>
      </c>
      <c r="Q59">
        <v>3.6882000000000001</v>
      </c>
      <c r="R59">
        <v>17750</v>
      </c>
      <c r="S59">
        <v>1.9441999999999999</v>
      </c>
      <c r="T59">
        <v>360</v>
      </c>
      <c r="U59">
        <v>3.9399999999999998E-2</v>
      </c>
      <c r="V59">
        <v>618901</v>
      </c>
      <c r="W59">
        <v>67.790599999999998</v>
      </c>
      <c r="X59">
        <v>643073</v>
      </c>
      <c r="Y59">
        <v>70.438199999999995</v>
      </c>
      <c r="Z59">
        <v>120000</v>
      </c>
      <c r="AA59">
        <v>36</v>
      </c>
      <c r="AB59" s="2">
        <v>25762</v>
      </c>
      <c r="AC59" s="2">
        <v>5276</v>
      </c>
      <c r="AD59" s="2">
        <v>14213483</v>
      </c>
      <c r="AE59" s="2">
        <v>44784</v>
      </c>
      <c r="AF59" s="2">
        <v>6385</v>
      </c>
      <c r="AG59" s="2">
        <v>3620469</v>
      </c>
      <c r="AH59" s="2">
        <v>14166</v>
      </c>
      <c r="AI59" s="2">
        <v>7809</v>
      </c>
      <c r="AJ59" s="2">
        <v>5195504</v>
      </c>
      <c r="AK59">
        <v>0</v>
      </c>
      <c r="AL59" s="2">
        <v>0</v>
      </c>
      <c r="AM59">
        <v>0</v>
      </c>
      <c r="AN59">
        <v>0</v>
      </c>
      <c r="AO59">
        <v>695.28</v>
      </c>
      <c r="AP59">
        <v>12777.81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</v>
      </c>
      <c r="BC59">
        <v>5</v>
      </c>
      <c r="BD59">
        <v>250</v>
      </c>
      <c r="BE59">
        <v>7920</v>
      </c>
      <c r="BF59">
        <v>60</v>
      </c>
      <c r="BG59">
        <v>20</v>
      </c>
      <c r="BH59" s="2">
        <v>20</v>
      </c>
      <c r="BI59" t="b">
        <v>1</v>
      </c>
      <c r="BJ59">
        <v>3</v>
      </c>
      <c r="BK59">
        <v>0</v>
      </c>
      <c r="BM59" t="b">
        <v>1</v>
      </c>
      <c r="BN59" t="b">
        <v>0</v>
      </c>
      <c r="BO59">
        <v>7</v>
      </c>
      <c r="BP59" s="2">
        <v>450000</v>
      </c>
      <c r="BQ59" t="s">
        <v>189</v>
      </c>
      <c r="BR59">
        <v>244316</v>
      </c>
      <c r="BS59" t="b">
        <v>0</v>
      </c>
      <c r="BT59" t="b">
        <v>0</v>
      </c>
      <c r="BU59">
        <v>60</v>
      </c>
      <c r="BV59" t="s">
        <v>39</v>
      </c>
      <c r="BW59">
        <v>0</v>
      </c>
      <c r="BX59" t="s">
        <v>190</v>
      </c>
      <c r="BY59" t="b">
        <v>0</v>
      </c>
      <c r="CA59" t="s">
        <v>165</v>
      </c>
      <c r="CB59" t="b">
        <v>0</v>
      </c>
    </row>
    <row r="60" spans="1:80" x14ac:dyDescent="0.2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M60" t="s">
        <v>40</v>
      </c>
      <c r="N60" s="1">
        <v>44175.641238425924</v>
      </c>
      <c r="O60">
        <v>10903599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120000</v>
      </c>
      <c r="AA60">
        <v>155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>
        <v>0</v>
      </c>
      <c r="AL60" s="2">
        <v>0</v>
      </c>
      <c r="AM60">
        <v>0</v>
      </c>
      <c r="AN60">
        <v>0</v>
      </c>
      <c r="AO60">
        <v>0</v>
      </c>
      <c r="AP60">
        <v>0</v>
      </c>
      <c r="AQ60">
        <v>100</v>
      </c>
      <c r="AR60">
        <v>413</v>
      </c>
      <c r="AS60">
        <v>3.7900000000000003E-2</v>
      </c>
      <c r="AT60">
        <v>176660</v>
      </c>
      <c r="AU60">
        <v>16.202000000000002</v>
      </c>
      <c r="AV60">
        <v>36086</v>
      </c>
      <c r="AW60">
        <v>3.3094999999999999</v>
      </c>
      <c r="AX60">
        <v>157475</v>
      </c>
      <c r="AY60">
        <v>5168</v>
      </c>
      <c r="AZ60">
        <v>53875978</v>
      </c>
      <c r="BA60">
        <v>3050.45</v>
      </c>
      <c r="BB60">
        <v>1</v>
      </c>
      <c r="BC60">
        <v>10</v>
      </c>
      <c r="BD60">
        <v>-1</v>
      </c>
      <c r="BE60">
        <v>-1</v>
      </c>
      <c r="BF60">
        <v>60</v>
      </c>
      <c r="BG60">
        <v>20</v>
      </c>
      <c r="BH60" s="2">
        <v>20</v>
      </c>
      <c r="BI60" t="b">
        <v>1</v>
      </c>
      <c r="BJ60">
        <v>3</v>
      </c>
      <c r="BK60">
        <v>0</v>
      </c>
      <c r="BM60" t="b">
        <v>1</v>
      </c>
      <c r="BN60" t="b">
        <v>0</v>
      </c>
      <c r="BO60">
        <v>1</v>
      </c>
      <c r="BP60" s="2">
        <v>-1</v>
      </c>
      <c r="BQ60" t="s">
        <v>189</v>
      </c>
      <c r="BR60">
        <v>244316</v>
      </c>
      <c r="BS60" t="b">
        <v>0</v>
      </c>
      <c r="BT60" t="b">
        <v>1</v>
      </c>
      <c r="BU60">
        <v>60</v>
      </c>
      <c r="BV60" t="s">
        <v>39</v>
      </c>
      <c r="BW60">
        <v>0</v>
      </c>
      <c r="BX60" t="s">
        <v>166</v>
      </c>
      <c r="BY60" t="b">
        <v>0</v>
      </c>
      <c r="BZ60" t="s">
        <v>216</v>
      </c>
      <c r="CA60" t="s">
        <v>213</v>
      </c>
      <c r="CB60" t="b">
        <v>1</v>
      </c>
    </row>
    <row r="61" spans="1:80" x14ac:dyDescent="0.2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M61" t="s">
        <v>40</v>
      </c>
      <c r="N61" s="1">
        <v>44175.661805555559</v>
      </c>
      <c r="O61">
        <v>9129601</v>
      </c>
      <c r="P61">
        <v>33183</v>
      </c>
      <c r="Q61">
        <v>3.6347</v>
      </c>
      <c r="R61">
        <v>17911</v>
      </c>
      <c r="S61">
        <v>1.9619</v>
      </c>
      <c r="T61">
        <v>360</v>
      </c>
      <c r="U61">
        <v>3.9399999999999998E-2</v>
      </c>
      <c r="V61">
        <v>591457</v>
      </c>
      <c r="W61">
        <v>64.784499999999994</v>
      </c>
      <c r="X61">
        <v>611964</v>
      </c>
      <c r="Y61">
        <v>67.030699999999996</v>
      </c>
      <c r="Z61">
        <v>120000</v>
      </c>
      <c r="AA61">
        <v>49</v>
      </c>
      <c r="AB61" s="2">
        <v>52937</v>
      </c>
      <c r="AC61" s="2">
        <v>5417</v>
      </c>
      <c r="AD61" s="2">
        <v>16039261</v>
      </c>
      <c r="AE61" s="2">
        <v>64072</v>
      </c>
      <c r="AF61" s="2">
        <v>6231</v>
      </c>
      <c r="AG61" s="2">
        <v>2818971</v>
      </c>
      <c r="AH61" s="2">
        <v>14895</v>
      </c>
      <c r="AI61" s="2">
        <v>7022</v>
      </c>
      <c r="AJ61" s="2">
        <v>5696934</v>
      </c>
      <c r="AK61">
        <v>0</v>
      </c>
      <c r="AL61" s="2">
        <v>0</v>
      </c>
      <c r="AM61">
        <v>0</v>
      </c>
      <c r="AN61">
        <v>0</v>
      </c>
      <c r="AO61">
        <v>681.59</v>
      </c>
      <c r="AP61">
        <v>12147.34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</v>
      </c>
      <c r="BC61">
        <v>5</v>
      </c>
      <c r="BD61">
        <v>250</v>
      </c>
      <c r="BE61">
        <v>7920</v>
      </c>
      <c r="BF61">
        <v>60</v>
      </c>
      <c r="BG61">
        <v>20</v>
      </c>
      <c r="BH61" s="2">
        <v>20</v>
      </c>
      <c r="BI61" t="b">
        <v>1</v>
      </c>
      <c r="BJ61">
        <v>3</v>
      </c>
      <c r="BK61">
        <v>0</v>
      </c>
      <c r="BM61" t="b">
        <v>1</v>
      </c>
      <c r="BN61" t="b">
        <v>0</v>
      </c>
      <c r="BO61">
        <v>7</v>
      </c>
      <c r="BP61" s="2">
        <v>450000</v>
      </c>
      <c r="BQ61" t="s">
        <v>189</v>
      </c>
      <c r="BR61">
        <v>244316</v>
      </c>
      <c r="BS61" t="b">
        <v>0</v>
      </c>
      <c r="BT61" t="b">
        <v>0</v>
      </c>
      <c r="BU61">
        <v>60</v>
      </c>
      <c r="BV61" t="s">
        <v>39</v>
      </c>
      <c r="BW61">
        <v>0</v>
      </c>
      <c r="BX61" t="s">
        <v>190</v>
      </c>
      <c r="BY61" t="b">
        <v>0</v>
      </c>
      <c r="CA61" t="s">
        <v>165</v>
      </c>
      <c r="CB61" t="b">
        <v>0</v>
      </c>
    </row>
    <row r="62" spans="1:80" x14ac:dyDescent="0.2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M62" t="s">
        <v>40</v>
      </c>
      <c r="N62" s="1">
        <v>44175.641238425924</v>
      </c>
      <c r="O62">
        <v>10903535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120000</v>
      </c>
      <c r="AA62">
        <v>53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>
        <v>0</v>
      </c>
      <c r="AL62" s="2">
        <v>0</v>
      </c>
      <c r="AM62">
        <v>0</v>
      </c>
      <c r="AN62">
        <v>0</v>
      </c>
      <c r="AO62">
        <v>0</v>
      </c>
      <c r="AP62">
        <v>0</v>
      </c>
      <c r="AQ62">
        <v>100</v>
      </c>
      <c r="AR62">
        <v>512</v>
      </c>
      <c r="AS62">
        <v>4.7E-2</v>
      </c>
      <c r="AT62">
        <v>173834</v>
      </c>
      <c r="AU62">
        <v>15.9429</v>
      </c>
      <c r="AV62">
        <v>36188</v>
      </c>
      <c r="AW62">
        <v>3.3189000000000002</v>
      </c>
      <c r="AX62">
        <v>115759</v>
      </c>
      <c r="AY62">
        <v>5263</v>
      </c>
      <c r="AZ62">
        <v>56103844</v>
      </c>
      <c r="BA62">
        <v>2991.41</v>
      </c>
      <c r="BB62">
        <v>1</v>
      </c>
      <c r="BC62">
        <v>10</v>
      </c>
      <c r="BD62">
        <v>-1</v>
      </c>
      <c r="BE62">
        <v>-1</v>
      </c>
      <c r="BF62">
        <v>60</v>
      </c>
      <c r="BG62">
        <v>20</v>
      </c>
      <c r="BH62" s="2">
        <v>20</v>
      </c>
      <c r="BI62" t="b">
        <v>1</v>
      </c>
      <c r="BJ62">
        <v>3</v>
      </c>
      <c r="BK62">
        <v>0</v>
      </c>
      <c r="BM62" t="b">
        <v>1</v>
      </c>
      <c r="BN62" t="b">
        <v>0</v>
      </c>
      <c r="BO62">
        <v>1</v>
      </c>
      <c r="BP62" s="2">
        <v>-1</v>
      </c>
      <c r="BQ62" t="s">
        <v>189</v>
      </c>
      <c r="BR62">
        <v>244316</v>
      </c>
      <c r="BS62" t="b">
        <v>0</v>
      </c>
      <c r="BT62" t="b">
        <v>1</v>
      </c>
      <c r="BU62">
        <v>60</v>
      </c>
      <c r="BV62" t="s">
        <v>39</v>
      </c>
      <c r="BW62">
        <v>0</v>
      </c>
      <c r="BX62" t="s">
        <v>166</v>
      </c>
      <c r="BY62" t="b">
        <v>0</v>
      </c>
      <c r="BZ62" t="s">
        <v>216</v>
      </c>
      <c r="CA62" t="s">
        <v>213</v>
      </c>
      <c r="CB62" t="b">
        <v>1</v>
      </c>
    </row>
    <row r="63" spans="1:80" x14ac:dyDescent="0.2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M63" t="s">
        <v>40</v>
      </c>
      <c r="N63" s="1">
        <v>44175.661863425928</v>
      </c>
      <c r="O63">
        <v>9129601</v>
      </c>
      <c r="P63">
        <v>33682</v>
      </c>
      <c r="Q63">
        <v>3.6892999999999998</v>
      </c>
      <c r="R63">
        <v>11354</v>
      </c>
      <c r="S63">
        <v>1.2436</v>
      </c>
      <c r="T63">
        <v>360</v>
      </c>
      <c r="U63">
        <v>3.9399999999999998E-2</v>
      </c>
      <c r="V63">
        <v>393279</v>
      </c>
      <c r="W63">
        <v>43.077300000000001</v>
      </c>
      <c r="X63">
        <v>644784</v>
      </c>
      <c r="Y63">
        <v>70.625600000000006</v>
      </c>
      <c r="Z63">
        <v>120000</v>
      </c>
      <c r="AA63">
        <v>0</v>
      </c>
      <c r="AB63" s="2">
        <v>32813</v>
      </c>
      <c r="AC63" s="2">
        <v>5348</v>
      </c>
      <c r="AD63" s="2">
        <v>15992084</v>
      </c>
      <c r="AE63" s="2">
        <v>33924</v>
      </c>
      <c r="AF63" s="2">
        <v>5824</v>
      </c>
      <c r="AG63" s="2">
        <v>2230868</v>
      </c>
      <c r="AH63" s="2">
        <v>14130</v>
      </c>
      <c r="AI63" s="2">
        <v>7346</v>
      </c>
      <c r="AJ63" s="2">
        <v>5195584</v>
      </c>
      <c r="AK63">
        <v>0</v>
      </c>
      <c r="AL63" s="2">
        <v>0</v>
      </c>
      <c r="AM63">
        <v>0</v>
      </c>
      <c r="AN63">
        <v>0</v>
      </c>
      <c r="AO63">
        <v>695.45</v>
      </c>
      <c r="AP63">
        <v>8120.12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</v>
      </c>
      <c r="BC63">
        <v>5</v>
      </c>
      <c r="BD63">
        <v>250</v>
      </c>
      <c r="BE63">
        <v>7920</v>
      </c>
      <c r="BF63">
        <v>60</v>
      </c>
      <c r="BG63">
        <v>20</v>
      </c>
      <c r="BH63" s="2">
        <v>20</v>
      </c>
      <c r="BI63" t="b">
        <v>1</v>
      </c>
      <c r="BJ63">
        <v>3</v>
      </c>
      <c r="BK63">
        <v>0</v>
      </c>
      <c r="BM63" t="b">
        <v>1</v>
      </c>
      <c r="BN63" t="b">
        <v>0</v>
      </c>
      <c r="BO63">
        <v>7</v>
      </c>
      <c r="BP63" s="2">
        <v>450000</v>
      </c>
      <c r="BQ63" t="s">
        <v>189</v>
      </c>
      <c r="BR63">
        <v>244316</v>
      </c>
      <c r="BS63" t="b">
        <v>0</v>
      </c>
      <c r="BT63" t="b">
        <v>0</v>
      </c>
      <c r="BU63">
        <v>60</v>
      </c>
      <c r="BV63" t="s">
        <v>39</v>
      </c>
      <c r="BW63">
        <v>0</v>
      </c>
      <c r="BX63" t="s">
        <v>190</v>
      </c>
      <c r="BY63" t="b">
        <v>0</v>
      </c>
      <c r="CA63" t="s">
        <v>165</v>
      </c>
      <c r="CB63" t="b">
        <v>0</v>
      </c>
    </row>
    <row r="64" spans="1:80" x14ac:dyDescent="0.2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M64" t="s">
        <v>40</v>
      </c>
      <c r="N64" s="1">
        <v>44175.641250000001</v>
      </c>
      <c r="O64">
        <v>10903276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120000</v>
      </c>
      <c r="AA64">
        <v>77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>
        <v>0</v>
      </c>
      <c r="AL64" s="2">
        <v>0</v>
      </c>
      <c r="AM64">
        <v>0</v>
      </c>
      <c r="AN64">
        <v>0</v>
      </c>
      <c r="AO64">
        <v>0</v>
      </c>
      <c r="AP64">
        <v>0</v>
      </c>
      <c r="AQ64">
        <v>100</v>
      </c>
      <c r="AR64">
        <v>414</v>
      </c>
      <c r="AS64">
        <v>3.7999999999999999E-2</v>
      </c>
      <c r="AT64">
        <v>98980</v>
      </c>
      <c r="AU64">
        <v>9.0779999999999994</v>
      </c>
      <c r="AV64">
        <v>36169</v>
      </c>
      <c r="AW64">
        <v>3.3172999999999999</v>
      </c>
      <c r="AX64">
        <v>131092</v>
      </c>
      <c r="AY64">
        <v>5233</v>
      </c>
      <c r="AZ64">
        <v>51560561</v>
      </c>
      <c r="BA64">
        <v>1715.46</v>
      </c>
      <c r="BB64">
        <v>1</v>
      </c>
      <c r="BC64">
        <v>10</v>
      </c>
      <c r="BD64">
        <v>-1</v>
      </c>
      <c r="BE64">
        <v>-1</v>
      </c>
      <c r="BF64">
        <v>60</v>
      </c>
      <c r="BG64">
        <v>20</v>
      </c>
      <c r="BH64" s="2">
        <v>20</v>
      </c>
      <c r="BI64" t="b">
        <v>1</v>
      </c>
      <c r="BJ64">
        <v>3</v>
      </c>
      <c r="BK64">
        <v>0</v>
      </c>
      <c r="BM64" t="b">
        <v>1</v>
      </c>
      <c r="BN64" t="b">
        <v>0</v>
      </c>
      <c r="BO64">
        <v>1</v>
      </c>
      <c r="BP64" s="2">
        <v>-1</v>
      </c>
      <c r="BQ64" t="s">
        <v>189</v>
      </c>
      <c r="BR64">
        <v>244316</v>
      </c>
      <c r="BS64" t="b">
        <v>0</v>
      </c>
      <c r="BT64" t="b">
        <v>1</v>
      </c>
      <c r="BU64">
        <v>60</v>
      </c>
      <c r="BV64" t="s">
        <v>39</v>
      </c>
      <c r="BW64">
        <v>0</v>
      </c>
      <c r="BX64" t="s">
        <v>166</v>
      </c>
      <c r="BY64" t="b">
        <v>0</v>
      </c>
      <c r="BZ64" t="s">
        <v>216</v>
      </c>
      <c r="CA64" t="s">
        <v>213</v>
      </c>
      <c r="CB64" t="b">
        <v>1</v>
      </c>
    </row>
    <row r="65" spans="1:80" x14ac:dyDescent="0.2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M65" t="s">
        <v>40</v>
      </c>
      <c r="N65" s="1">
        <v>44175.661805555559</v>
      </c>
      <c r="O65">
        <v>9129601</v>
      </c>
      <c r="P65">
        <v>33629</v>
      </c>
      <c r="Q65">
        <v>3.6835</v>
      </c>
      <c r="R65">
        <v>12744</v>
      </c>
      <c r="S65">
        <v>1.3958999999999999</v>
      </c>
      <c r="T65">
        <v>360</v>
      </c>
      <c r="U65">
        <v>3.9399999999999998E-2</v>
      </c>
      <c r="V65">
        <v>448983</v>
      </c>
      <c r="W65">
        <v>49.178800000000003</v>
      </c>
      <c r="X65">
        <v>644393</v>
      </c>
      <c r="Y65">
        <v>70.582800000000006</v>
      </c>
      <c r="Z65">
        <v>120000</v>
      </c>
      <c r="AA65">
        <v>65</v>
      </c>
      <c r="AB65" s="2">
        <v>37303</v>
      </c>
      <c r="AC65" s="2">
        <v>4052</v>
      </c>
      <c r="AD65" s="2">
        <v>11812397</v>
      </c>
      <c r="AE65" s="2">
        <v>33960</v>
      </c>
      <c r="AF65" s="2">
        <v>4584</v>
      </c>
      <c r="AG65" s="2">
        <v>2337431</v>
      </c>
      <c r="AH65" s="2">
        <v>14149</v>
      </c>
      <c r="AI65" s="2">
        <v>7334</v>
      </c>
      <c r="AJ65" s="2">
        <v>5194598</v>
      </c>
      <c r="AK65">
        <v>0</v>
      </c>
      <c r="AL65" s="2">
        <v>0</v>
      </c>
      <c r="AM65">
        <v>0</v>
      </c>
      <c r="AN65">
        <v>0</v>
      </c>
      <c r="AO65">
        <v>690.56</v>
      </c>
      <c r="AP65">
        <v>9221.32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5</v>
      </c>
      <c r="BC65">
        <v>5</v>
      </c>
      <c r="BD65">
        <v>250</v>
      </c>
      <c r="BE65">
        <v>7920</v>
      </c>
      <c r="BF65">
        <v>60</v>
      </c>
      <c r="BG65">
        <v>20</v>
      </c>
      <c r="BH65" s="2">
        <v>20</v>
      </c>
      <c r="BI65" t="b">
        <v>1</v>
      </c>
      <c r="BJ65">
        <v>3</v>
      </c>
      <c r="BK65">
        <v>0</v>
      </c>
      <c r="BM65" t="b">
        <v>1</v>
      </c>
      <c r="BN65" t="b">
        <v>0</v>
      </c>
      <c r="BO65">
        <v>7</v>
      </c>
      <c r="BP65" s="2">
        <v>450000</v>
      </c>
      <c r="BQ65" t="s">
        <v>189</v>
      </c>
      <c r="BR65">
        <v>244316</v>
      </c>
      <c r="BS65" t="b">
        <v>0</v>
      </c>
      <c r="BT65" t="b">
        <v>0</v>
      </c>
      <c r="BU65">
        <v>60</v>
      </c>
      <c r="BV65" t="s">
        <v>39</v>
      </c>
      <c r="BW65">
        <v>0</v>
      </c>
      <c r="BX65" t="s">
        <v>190</v>
      </c>
      <c r="BY65" t="b">
        <v>0</v>
      </c>
      <c r="CA65" t="s">
        <v>165</v>
      </c>
      <c r="CB65" t="b">
        <v>0</v>
      </c>
    </row>
    <row r="66" spans="1:80" x14ac:dyDescent="0.2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M66" t="s">
        <v>40</v>
      </c>
      <c r="N66" s="1">
        <v>44175.641250000001</v>
      </c>
      <c r="O66">
        <v>10903291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120000</v>
      </c>
      <c r="AA66">
        <v>128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>
        <v>0</v>
      </c>
      <c r="AL66" s="2">
        <v>0</v>
      </c>
      <c r="AM66">
        <v>0</v>
      </c>
      <c r="AN66">
        <v>0</v>
      </c>
      <c r="AO66">
        <v>0</v>
      </c>
      <c r="AP66">
        <v>0</v>
      </c>
      <c r="AQ66">
        <v>100</v>
      </c>
      <c r="AR66">
        <v>484</v>
      </c>
      <c r="AS66">
        <v>4.4400000000000002E-2</v>
      </c>
      <c r="AT66">
        <v>112196</v>
      </c>
      <c r="AU66">
        <v>10.290100000000001</v>
      </c>
      <c r="AV66">
        <v>36107</v>
      </c>
      <c r="AW66">
        <v>3.3115999999999999</v>
      </c>
      <c r="AX66">
        <v>134400</v>
      </c>
      <c r="AY66">
        <v>3784</v>
      </c>
      <c r="AZ66">
        <v>59824335</v>
      </c>
      <c r="BA66">
        <v>1928.97</v>
      </c>
      <c r="BB66">
        <v>1</v>
      </c>
      <c r="BC66">
        <v>10</v>
      </c>
      <c r="BD66">
        <v>-1</v>
      </c>
      <c r="BE66">
        <v>-1</v>
      </c>
      <c r="BF66">
        <v>60</v>
      </c>
      <c r="BG66">
        <v>20</v>
      </c>
      <c r="BH66" s="2">
        <v>20</v>
      </c>
      <c r="BI66" t="b">
        <v>1</v>
      </c>
      <c r="BJ66">
        <v>3</v>
      </c>
      <c r="BK66">
        <v>0</v>
      </c>
      <c r="BM66" t="b">
        <v>1</v>
      </c>
      <c r="BN66" t="b">
        <v>0</v>
      </c>
      <c r="BO66">
        <v>1</v>
      </c>
      <c r="BP66" s="2">
        <v>-1</v>
      </c>
      <c r="BQ66" t="s">
        <v>189</v>
      </c>
      <c r="BR66">
        <v>244316</v>
      </c>
      <c r="BS66" t="b">
        <v>0</v>
      </c>
      <c r="BT66" t="b">
        <v>1</v>
      </c>
      <c r="BU66">
        <v>60</v>
      </c>
      <c r="BV66" t="s">
        <v>39</v>
      </c>
      <c r="BW66">
        <v>0</v>
      </c>
      <c r="BX66" t="s">
        <v>166</v>
      </c>
      <c r="BY66" t="b">
        <v>0</v>
      </c>
      <c r="BZ66" t="s">
        <v>216</v>
      </c>
      <c r="CA66" t="s">
        <v>213</v>
      </c>
      <c r="CB66" t="b">
        <v>1</v>
      </c>
    </row>
    <row r="67" spans="1:80" x14ac:dyDescent="0.2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M67" t="s">
        <v>40</v>
      </c>
      <c r="N67" s="1">
        <v>44175.661805555559</v>
      </c>
      <c r="O67">
        <v>9129601</v>
      </c>
      <c r="P67">
        <v>33167</v>
      </c>
      <c r="Q67">
        <v>3.6328999999999998</v>
      </c>
      <c r="R67">
        <v>13291</v>
      </c>
      <c r="S67">
        <v>1.4558</v>
      </c>
      <c r="T67">
        <v>360</v>
      </c>
      <c r="U67">
        <v>3.9399999999999998E-2</v>
      </c>
      <c r="V67">
        <v>654958</v>
      </c>
      <c r="W67">
        <v>71.739999999999995</v>
      </c>
      <c r="X67">
        <v>911841</v>
      </c>
      <c r="Y67">
        <v>99.877399999999994</v>
      </c>
      <c r="Z67">
        <v>120000</v>
      </c>
      <c r="AA67">
        <v>68</v>
      </c>
      <c r="AB67" s="2">
        <v>55656</v>
      </c>
      <c r="AC67" s="2">
        <v>5670</v>
      </c>
      <c r="AD67" s="2">
        <v>16037474</v>
      </c>
      <c r="AE67" s="2">
        <v>51495</v>
      </c>
      <c r="AF67" s="2">
        <v>5883</v>
      </c>
      <c r="AG67" s="2">
        <v>5849826</v>
      </c>
      <c r="AH67" s="2">
        <v>9883</v>
      </c>
      <c r="AI67" s="2">
        <v>5219</v>
      </c>
      <c r="AJ67" s="2">
        <v>4707602</v>
      </c>
      <c r="AK67">
        <v>0</v>
      </c>
      <c r="AL67" s="2">
        <v>0</v>
      </c>
      <c r="AM67">
        <v>0</v>
      </c>
      <c r="AN67">
        <v>0</v>
      </c>
      <c r="AO67">
        <v>681.29</v>
      </c>
      <c r="AP67">
        <v>13452.56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</v>
      </c>
      <c r="BC67">
        <v>5</v>
      </c>
      <c r="BD67">
        <v>250</v>
      </c>
      <c r="BE67">
        <v>7920</v>
      </c>
      <c r="BF67">
        <v>60</v>
      </c>
      <c r="BG67">
        <v>20</v>
      </c>
      <c r="BH67" s="2">
        <v>20</v>
      </c>
      <c r="BI67" t="b">
        <v>1</v>
      </c>
      <c r="BJ67">
        <v>3</v>
      </c>
      <c r="BK67">
        <v>0</v>
      </c>
      <c r="BM67" t="b">
        <v>1</v>
      </c>
      <c r="BN67" t="b">
        <v>0</v>
      </c>
      <c r="BO67">
        <v>7</v>
      </c>
      <c r="BP67" s="2">
        <v>450000</v>
      </c>
      <c r="BQ67" t="s">
        <v>189</v>
      </c>
      <c r="BR67">
        <v>244316</v>
      </c>
      <c r="BS67" t="b">
        <v>0</v>
      </c>
      <c r="BT67" t="b">
        <v>0</v>
      </c>
      <c r="BU67">
        <v>60</v>
      </c>
      <c r="BV67" t="s">
        <v>39</v>
      </c>
      <c r="BW67">
        <v>0</v>
      </c>
      <c r="BX67" t="s">
        <v>190</v>
      </c>
      <c r="BY67" t="b">
        <v>0</v>
      </c>
      <c r="CA67" t="s">
        <v>165</v>
      </c>
      <c r="CB67" t="b">
        <v>0</v>
      </c>
    </row>
    <row r="68" spans="1:80" x14ac:dyDescent="0.2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M68" t="s">
        <v>40</v>
      </c>
      <c r="N68" s="1">
        <v>44175.641250000001</v>
      </c>
      <c r="O68">
        <v>10903075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120000</v>
      </c>
      <c r="AA68">
        <v>81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>
        <v>0</v>
      </c>
      <c r="AL68" s="2">
        <v>0</v>
      </c>
      <c r="AM68">
        <v>0</v>
      </c>
      <c r="AN68">
        <v>0</v>
      </c>
      <c r="AO68">
        <v>0</v>
      </c>
      <c r="AP68">
        <v>0</v>
      </c>
      <c r="AQ68">
        <v>100</v>
      </c>
      <c r="AR68">
        <v>471</v>
      </c>
      <c r="AS68">
        <v>4.3200000000000002E-2</v>
      </c>
      <c r="AT68">
        <v>113483</v>
      </c>
      <c r="AU68">
        <v>10.408300000000001</v>
      </c>
      <c r="AV68">
        <v>36163</v>
      </c>
      <c r="AW68">
        <v>3.3168000000000002</v>
      </c>
      <c r="AX68">
        <v>180225</v>
      </c>
      <c r="AY68">
        <v>5409</v>
      </c>
      <c r="AZ68">
        <v>58580238</v>
      </c>
      <c r="BA68">
        <v>1953.19</v>
      </c>
      <c r="BB68">
        <v>1</v>
      </c>
      <c r="BC68">
        <v>10</v>
      </c>
      <c r="BD68">
        <v>-1</v>
      </c>
      <c r="BE68">
        <v>-1</v>
      </c>
      <c r="BF68">
        <v>60</v>
      </c>
      <c r="BG68">
        <v>20</v>
      </c>
      <c r="BH68" s="2">
        <v>20</v>
      </c>
      <c r="BI68" t="b">
        <v>1</v>
      </c>
      <c r="BJ68">
        <v>3</v>
      </c>
      <c r="BK68">
        <v>0</v>
      </c>
      <c r="BM68" t="b">
        <v>1</v>
      </c>
      <c r="BN68" t="b">
        <v>0</v>
      </c>
      <c r="BO68">
        <v>1</v>
      </c>
      <c r="BP68" s="2">
        <v>-1</v>
      </c>
      <c r="BQ68" t="s">
        <v>189</v>
      </c>
      <c r="BR68">
        <v>244316</v>
      </c>
      <c r="BS68" t="b">
        <v>0</v>
      </c>
      <c r="BT68" t="b">
        <v>1</v>
      </c>
      <c r="BU68">
        <v>60</v>
      </c>
      <c r="BV68" t="s">
        <v>39</v>
      </c>
      <c r="BW68">
        <v>0</v>
      </c>
      <c r="BX68" t="s">
        <v>166</v>
      </c>
      <c r="BY68" t="b">
        <v>0</v>
      </c>
      <c r="BZ68" t="s">
        <v>216</v>
      </c>
      <c r="CA68" t="s">
        <v>213</v>
      </c>
      <c r="CB68" t="b">
        <v>1</v>
      </c>
    </row>
    <row r="69" spans="1:80" x14ac:dyDescent="0.2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M69" t="s">
        <v>40</v>
      </c>
      <c r="N69" s="1">
        <v>44175.661805555559</v>
      </c>
      <c r="O69">
        <v>9129602</v>
      </c>
      <c r="P69">
        <v>33676</v>
      </c>
      <c r="Q69">
        <v>3.6886999999999999</v>
      </c>
      <c r="R69">
        <v>17963</v>
      </c>
      <c r="S69">
        <v>1.9676</v>
      </c>
      <c r="T69">
        <v>360</v>
      </c>
      <c r="U69">
        <v>3.9399999999999998E-2</v>
      </c>
      <c r="V69">
        <v>622536</v>
      </c>
      <c r="W69">
        <v>68.188699999999997</v>
      </c>
      <c r="X69">
        <v>639723</v>
      </c>
      <c r="Y69">
        <v>70.071299999999994</v>
      </c>
      <c r="Z69">
        <v>120000</v>
      </c>
      <c r="AA69">
        <v>40</v>
      </c>
      <c r="AB69" s="2">
        <v>36776</v>
      </c>
      <c r="AC69" s="2">
        <v>5057</v>
      </c>
      <c r="AD69" s="2">
        <v>10744626</v>
      </c>
      <c r="AE69" s="2">
        <v>71351</v>
      </c>
      <c r="AF69" s="2">
        <v>5627</v>
      </c>
      <c r="AG69" s="2">
        <v>2817420</v>
      </c>
      <c r="AH69" s="2">
        <v>14248</v>
      </c>
      <c r="AI69" s="2">
        <v>7266</v>
      </c>
      <c r="AJ69" s="2">
        <v>6235813</v>
      </c>
      <c r="AK69">
        <v>0</v>
      </c>
      <c r="AL69" s="2">
        <v>0</v>
      </c>
      <c r="AM69">
        <v>0</v>
      </c>
      <c r="AN69">
        <v>0</v>
      </c>
      <c r="AO69">
        <v>695.58</v>
      </c>
      <c r="AP69">
        <v>12856.31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</v>
      </c>
      <c r="BC69">
        <v>5</v>
      </c>
      <c r="BD69">
        <v>250</v>
      </c>
      <c r="BE69">
        <v>7920</v>
      </c>
      <c r="BF69">
        <v>60</v>
      </c>
      <c r="BG69">
        <v>20</v>
      </c>
      <c r="BH69" s="2">
        <v>20</v>
      </c>
      <c r="BI69" t="b">
        <v>1</v>
      </c>
      <c r="BJ69">
        <v>3</v>
      </c>
      <c r="BK69">
        <v>0</v>
      </c>
      <c r="BM69" t="b">
        <v>1</v>
      </c>
      <c r="BN69" t="b">
        <v>0</v>
      </c>
      <c r="BO69">
        <v>7</v>
      </c>
      <c r="BP69" s="2">
        <v>450000</v>
      </c>
      <c r="BQ69" t="s">
        <v>189</v>
      </c>
      <c r="BR69">
        <v>244316</v>
      </c>
      <c r="BS69" t="b">
        <v>0</v>
      </c>
      <c r="BT69" t="b">
        <v>0</v>
      </c>
      <c r="BU69">
        <v>60</v>
      </c>
      <c r="BV69" t="s">
        <v>39</v>
      </c>
      <c r="BW69">
        <v>0</v>
      </c>
      <c r="BX69" t="s">
        <v>190</v>
      </c>
      <c r="BY69" t="b">
        <v>0</v>
      </c>
      <c r="CA69" t="s">
        <v>165</v>
      </c>
      <c r="CB69" t="b">
        <v>0</v>
      </c>
    </row>
    <row r="70" spans="1:80" x14ac:dyDescent="0.2">
      <c r="M70" t="s">
        <v>40</v>
      </c>
      <c r="N70" s="1">
        <v>44175.641238425924</v>
      </c>
      <c r="O70">
        <v>10903676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120000</v>
      </c>
      <c r="AA70">
        <v>62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>
        <v>0</v>
      </c>
      <c r="AL70" s="2">
        <v>0</v>
      </c>
      <c r="AM70">
        <v>0</v>
      </c>
      <c r="AN70">
        <v>0</v>
      </c>
      <c r="AO70">
        <v>0</v>
      </c>
      <c r="AP70">
        <v>0</v>
      </c>
      <c r="AQ70">
        <v>100</v>
      </c>
      <c r="AR70">
        <v>500</v>
      </c>
      <c r="AS70">
        <v>4.5900000000000003E-2</v>
      </c>
      <c r="AT70">
        <v>177068</v>
      </c>
      <c r="AU70">
        <v>16.2393</v>
      </c>
      <c r="AV70">
        <v>36181</v>
      </c>
      <c r="AW70">
        <v>3.3182</v>
      </c>
      <c r="AX70">
        <v>251084</v>
      </c>
      <c r="AY70">
        <v>3569</v>
      </c>
      <c r="AZ70">
        <v>59130576</v>
      </c>
      <c r="BA70">
        <v>3064.95</v>
      </c>
      <c r="BB70">
        <v>1</v>
      </c>
      <c r="BC70">
        <v>10</v>
      </c>
      <c r="BD70">
        <v>-1</v>
      </c>
      <c r="BE70">
        <v>-1</v>
      </c>
      <c r="BF70">
        <v>60</v>
      </c>
      <c r="BG70">
        <v>20</v>
      </c>
      <c r="BH70" s="2">
        <v>20</v>
      </c>
      <c r="BI70" t="b">
        <v>1</v>
      </c>
      <c r="BJ70">
        <v>3</v>
      </c>
      <c r="BK70">
        <v>0</v>
      </c>
      <c r="BM70" t="b">
        <v>1</v>
      </c>
      <c r="BN70" t="b">
        <v>0</v>
      </c>
      <c r="BO70">
        <v>1</v>
      </c>
      <c r="BP70" s="2">
        <v>-1</v>
      </c>
      <c r="BQ70" t="s">
        <v>189</v>
      </c>
      <c r="BR70">
        <v>244316</v>
      </c>
      <c r="BS70" t="b">
        <v>0</v>
      </c>
      <c r="BT70" t="b">
        <v>1</v>
      </c>
      <c r="BU70">
        <v>60</v>
      </c>
      <c r="BV70" t="s">
        <v>39</v>
      </c>
      <c r="BW70">
        <v>0</v>
      </c>
      <c r="BX70" t="s">
        <v>166</v>
      </c>
      <c r="BY70" t="b">
        <v>0</v>
      </c>
      <c r="BZ70" t="s">
        <v>216</v>
      </c>
      <c r="CA70" t="s">
        <v>213</v>
      </c>
      <c r="CB70" t="b">
        <v>1</v>
      </c>
    </row>
    <row r="71" spans="1:80" x14ac:dyDescent="0.2">
      <c r="M71" t="s">
        <v>40</v>
      </c>
      <c r="N71" s="1">
        <v>44175.661805555559</v>
      </c>
      <c r="O71">
        <v>9129603</v>
      </c>
      <c r="P71">
        <v>33159</v>
      </c>
      <c r="Q71">
        <v>3.6320000000000001</v>
      </c>
      <c r="R71">
        <v>17787</v>
      </c>
      <c r="S71">
        <v>1.9482999999999999</v>
      </c>
      <c r="T71">
        <v>360</v>
      </c>
      <c r="U71">
        <v>3.9399999999999998E-2</v>
      </c>
      <c r="V71">
        <v>514287</v>
      </c>
      <c r="W71">
        <v>56.331800000000001</v>
      </c>
      <c r="X71">
        <v>533324</v>
      </c>
      <c r="Y71">
        <v>58.417000000000002</v>
      </c>
      <c r="Z71">
        <v>120000</v>
      </c>
      <c r="AA71">
        <v>80</v>
      </c>
      <c r="AB71" s="2">
        <v>53489</v>
      </c>
      <c r="AC71" s="2">
        <v>3788</v>
      </c>
      <c r="AD71" s="2">
        <v>16037360</v>
      </c>
      <c r="AE71" s="2">
        <v>40491</v>
      </c>
      <c r="AF71" s="2">
        <v>4242</v>
      </c>
      <c r="AG71" s="2">
        <v>4291559</v>
      </c>
      <c r="AH71" s="2">
        <v>17072</v>
      </c>
      <c r="AI71" s="2">
        <v>8642</v>
      </c>
      <c r="AJ71" s="2">
        <v>3904728</v>
      </c>
      <c r="AK71">
        <v>0</v>
      </c>
      <c r="AL71" s="2">
        <v>0</v>
      </c>
      <c r="AM71">
        <v>0</v>
      </c>
      <c r="AN71">
        <v>0</v>
      </c>
      <c r="AO71">
        <v>673.93</v>
      </c>
      <c r="AP71">
        <v>10449.42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5</v>
      </c>
      <c r="BC71">
        <v>5</v>
      </c>
      <c r="BD71">
        <v>250</v>
      </c>
      <c r="BE71">
        <v>7920</v>
      </c>
      <c r="BF71">
        <v>60</v>
      </c>
      <c r="BG71">
        <v>20</v>
      </c>
      <c r="BH71" s="2">
        <v>20</v>
      </c>
      <c r="BI71" t="b">
        <v>1</v>
      </c>
      <c r="BJ71">
        <v>3</v>
      </c>
      <c r="BK71">
        <v>0</v>
      </c>
      <c r="BM71" t="b">
        <v>1</v>
      </c>
      <c r="BN71" t="b">
        <v>0</v>
      </c>
      <c r="BO71">
        <v>7</v>
      </c>
      <c r="BP71" s="2">
        <v>450000</v>
      </c>
      <c r="BQ71" t="s">
        <v>189</v>
      </c>
      <c r="BR71">
        <v>244316</v>
      </c>
      <c r="BS71" t="b">
        <v>0</v>
      </c>
      <c r="BT71" t="b">
        <v>0</v>
      </c>
      <c r="BU71">
        <v>60</v>
      </c>
      <c r="BV71" t="s">
        <v>39</v>
      </c>
      <c r="BW71">
        <v>0</v>
      </c>
      <c r="BX71" t="s">
        <v>190</v>
      </c>
      <c r="BY71" t="b">
        <v>0</v>
      </c>
      <c r="CA71" t="s">
        <v>165</v>
      </c>
      <c r="CB71" t="b">
        <v>0</v>
      </c>
    </row>
    <row r="72" spans="1:80" x14ac:dyDescent="0.2">
      <c r="M72" t="s">
        <v>40</v>
      </c>
      <c r="N72" s="1">
        <v>44175.641250000001</v>
      </c>
      <c r="O72">
        <v>10903052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120000</v>
      </c>
      <c r="AA72">
        <v>155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>
        <v>0</v>
      </c>
      <c r="AL72" s="2">
        <v>0</v>
      </c>
      <c r="AM72">
        <v>0</v>
      </c>
      <c r="AN72">
        <v>0</v>
      </c>
      <c r="AO72">
        <v>0</v>
      </c>
      <c r="AP72">
        <v>0</v>
      </c>
      <c r="AQ72">
        <v>100</v>
      </c>
      <c r="AR72">
        <v>493</v>
      </c>
      <c r="AS72">
        <v>4.5199999999999997E-2</v>
      </c>
      <c r="AT72">
        <v>173161</v>
      </c>
      <c r="AU72">
        <v>15.8819</v>
      </c>
      <c r="AV72">
        <v>36086</v>
      </c>
      <c r="AW72">
        <v>3.3096999999999999</v>
      </c>
      <c r="AX72">
        <v>180572</v>
      </c>
      <c r="AY72">
        <v>3498</v>
      </c>
      <c r="AZ72">
        <v>54138593</v>
      </c>
      <c r="BA72">
        <v>2950.61</v>
      </c>
      <c r="BB72">
        <v>1</v>
      </c>
      <c r="BC72">
        <v>10</v>
      </c>
      <c r="BD72">
        <v>-1</v>
      </c>
      <c r="BE72">
        <v>-1</v>
      </c>
      <c r="BF72">
        <v>60</v>
      </c>
      <c r="BG72">
        <v>20</v>
      </c>
      <c r="BH72" s="2">
        <v>20</v>
      </c>
      <c r="BI72" t="b">
        <v>1</v>
      </c>
      <c r="BJ72">
        <v>3</v>
      </c>
      <c r="BK72">
        <v>0</v>
      </c>
      <c r="BM72" t="b">
        <v>1</v>
      </c>
      <c r="BN72" t="b">
        <v>0</v>
      </c>
      <c r="BO72">
        <v>1</v>
      </c>
      <c r="BP72" s="2">
        <v>-1</v>
      </c>
      <c r="BQ72" t="s">
        <v>189</v>
      </c>
      <c r="BR72">
        <v>244316</v>
      </c>
      <c r="BS72" t="b">
        <v>0</v>
      </c>
      <c r="BT72" t="b">
        <v>1</v>
      </c>
      <c r="BU72">
        <v>60</v>
      </c>
      <c r="BV72" t="s">
        <v>39</v>
      </c>
      <c r="BW72">
        <v>0</v>
      </c>
      <c r="BX72" t="s">
        <v>166</v>
      </c>
      <c r="BY72" t="b">
        <v>0</v>
      </c>
      <c r="BZ72" t="s">
        <v>216</v>
      </c>
      <c r="CA72" t="s">
        <v>213</v>
      </c>
      <c r="CB72" t="b">
        <v>1</v>
      </c>
    </row>
    <row r="73" spans="1:80" x14ac:dyDescent="0.2">
      <c r="M73" t="s">
        <v>40</v>
      </c>
      <c r="N73" s="1">
        <v>44175.661863425928</v>
      </c>
      <c r="O73">
        <v>9129601</v>
      </c>
      <c r="P73">
        <v>33708</v>
      </c>
      <c r="Q73">
        <v>3.6922000000000001</v>
      </c>
      <c r="R73">
        <v>17963</v>
      </c>
      <c r="S73">
        <v>1.9676</v>
      </c>
      <c r="T73">
        <v>360</v>
      </c>
      <c r="U73">
        <v>3.9399999999999998E-2</v>
      </c>
      <c r="V73">
        <v>500760</v>
      </c>
      <c r="W73">
        <v>54.850099999999998</v>
      </c>
      <c r="X73">
        <v>514324</v>
      </c>
      <c r="Y73">
        <v>56.335900000000002</v>
      </c>
      <c r="Z73">
        <v>120000</v>
      </c>
      <c r="AA73">
        <v>0</v>
      </c>
      <c r="AB73" s="2">
        <v>24783</v>
      </c>
      <c r="AC73" s="2">
        <v>5651</v>
      </c>
      <c r="AD73" s="2">
        <v>14684399</v>
      </c>
      <c r="AE73" s="2">
        <v>48593</v>
      </c>
      <c r="AF73" s="2">
        <v>6640</v>
      </c>
      <c r="AG73" s="2">
        <v>3996419</v>
      </c>
      <c r="AH73" s="2">
        <v>17713</v>
      </c>
      <c r="AI73" s="2">
        <v>7530</v>
      </c>
      <c r="AJ73" s="2">
        <v>21876806</v>
      </c>
      <c r="AK73">
        <v>0</v>
      </c>
      <c r="AL73" s="2">
        <v>0</v>
      </c>
      <c r="AM73">
        <v>0</v>
      </c>
      <c r="AN73">
        <v>0</v>
      </c>
      <c r="AO73">
        <v>692.15</v>
      </c>
      <c r="AP73">
        <v>10284.06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5</v>
      </c>
      <c r="BC73">
        <v>5</v>
      </c>
      <c r="BD73">
        <v>250</v>
      </c>
      <c r="BE73">
        <v>7920</v>
      </c>
      <c r="BF73">
        <v>60</v>
      </c>
      <c r="BG73">
        <v>20</v>
      </c>
      <c r="BH73" s="2">
        <v>20</v>
      </c>
      <c r="BI73" t="b">
        <v>1</v>
      </c>
      <c r="BJ73">
        <v>3</v>
      </c>
      <c r="BK73">
        <v>0</v>
      </c>
      <c r="BM73" t="b">
        <v>1</v>
      </c>
      <c r="BN73" t="b">
        <v>0</v>
      </c>
      <c r="BO73">
        <v>7</v>
      </c>
      <c r="BP73" s="2">
        <v>450000</v>
      </c>
      <c r="BQ73" t="s">
        <v>189</v>
      </c>
      <c r="BR73">
        <v>244316</v>
      </c>
      <c r="BS73" t="b">
        <v>0</v>
      </c>
      <c r="BT73" t="b">
        <v>0</v>
      </c>
      <c r="BU73">
        <v>60</v>
      </c>
      <c r="BV73" t="s">
        <v>39</v>
      </c>
      <c r="BW73">
        <v>0</v>
      </c>
      <c r="BX73" t="s">
        <v>190</v>
      </c>
      <c r="BY73" t="b">
        <v>0</v>
      </c>
      <c r="CA73" t="s">
        <v>165</v>
      </c>
      <c r="CB73" t="b">
        <v>0</v>
      </c>
    </row>
    <row r="74" spans="1:80" x14ac:dyDescent="0.2">
      <c r="M74" t="s">
        <v>40</v>
      </c>
      <c r="N74" s="1">
        <v>44175.641238425924</v>
      </c>
      <c r="O74">
        <v>10903565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120000</v>
      </c>
      <c r="AA74">
        <v>80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>
        <v>0</v>
      </c>
      <c r="AL74" s="2">
        <v>0</v>
      </c>
      <c r="AM74">
        <v>0</v>
      </c>
      <c r="AN74">
        <v>0</v>
      </c>
      <c r="AO74">
        <v>0</v>
      </c>
      <c r="AP74">
        <v>0</v>
      </c>
      <c r="AQ74">
        <v>100</v>
      </c>
      <c r="AR74">
        <v>539</v>
      </c>
      <c r="AS74">
        <v>4.9399999999999999E-2</v>
      </c>
      <c r="AT74">
        <v>177219</v>
      </c>
      <c r="AU74">
        <v>16.253299999999999</v>
      </c>
      <c r="AV74">
        <v>36157</v>
      </c>
      <c r="AW74">
        <v>3.3161</v>
      </c>
      <c r="AX74">
        <v>142854</v>
      </c>
      <c r="AY74">
        <v>5319</v>
      </c>
      <c r="AZ74">
        <v>58086703</v>
      </c>
      <c r="BA74">
        <v>3052.25</v>
      </c>
      <c r="BB74">
        <v>1</v>
      </c>
      <c r="BC74">
        <v>10</v>
      </c>
      <c r="BD74">
        <v>-1</v>
      </c>
      <c r="BE74">
        <v>-1</v>
      </c>
      <c r="BF74">
        <v>60</v>
      </c>
      <c r="BG74">
        <v>20</v>
      </c>
      <c r="BH74" s="2">
        <v>20</v>
      </c>
      <c r="BI74" t="b">
        <v>1</v>
      </c>
      <c r="BJ74">
        <v>3</v>
      </c>
      <c r="BK74">
        <v>0</v>
      </c>
      <c r="BM74" t="b">
        <v>1</v>
      </c>
      <c r="BN74" t="b">
        <v>0</v>
      </c>
      <c r="BO74">
        <v>1</v>
      </c>
      <c r="BP74" s="2">
        <v>-1</v>
      </c>
      <c r="BQ74" t="s">
        <v>189</v>
      </c>
      <c r="BR74">
        <v>244316</v>
      </c>
      <c r="BS74" t="b">
        <v>0</v>
      </c>
      <c r="BT74" t="b">
        <v>1</v>
      </c>
      <c r="BU74">
        <v>60</v>
      </c>
      <c r="BV74" t="s">
        <v>39</v>
      </c>
      <c r="BW74">
        <v>0</v>
      </c>
      <c r="BX74" t="s">
        <v>166</v>
      </c>
      <c r="BY74" t="b">
        <v>0</v>
      </c>
      <c r="BZ74" t="s">
        <v>216</v>
      </c>
      <c r="CA74" t="s">
        <v>213</v>
      </c>
      <c r="CB74" t="b">
        <v>1</v>
      </c>
    </row>
    <row r="75" spans="1:80" x14ac:dyDescent="0.2">
      <c r="M75" t="s">
        <v>40</v>
      </c>
      <c r="N75" s="1">
        <v>44175.661805555559</v>
      </c>
      <c r="O75">
        <v>9129601</v>
      </c>
      <c r="P75">
        <v>33150</v>
      </c>
      <c r="Q75">
        <v>3.6309999999999998</v>
      </c>
      <c r="R75">
        <v>9325</v>
      </c>
      <c r="S75">
        <v>1.0214000000000001</v>
      </c>
      <c r="T75">
        <v>360</v>
      </c>
      <c r="U75">
        <v>3.9399999999999998E-2</v>
      </c>
      <c r="V75">
        <v>313502</v>
      </c>
      <c r="W75">
        <v>34.339100000000002</v>
      </c>
      <c r="X75">
        <v>610267</v>
      </c>
      <c r="Y75">
        <v>66.844899999999996</v>
      </c>
      <c r="Z75">
        <v>120000</v>
      </c>
      <c r="AA75">
        <v>83</v>
      </c>
      <c r="AB75" s="2">
        <v>57180</v>
      </c>
      <c r="AC75" s="2">
        <v>5727</v>
      </c>
      <c r="AD75" s="2">
        <v>16098248</v>
      </c>
      <c r="AE75" s="2">
        <v>59338</v>
      </c>
      <c r="AF75" s="2">
        <v>6127</v>
      </c>
      <c r="AG75" s="2">
        <v>5904444</v>
      </c>
      <c r="AH75" s="2">
        <v>14938</v>
      </c>
      <c r="AI75" s="2">
        <v>7523</v>
      </c>
      <c r="AJ75" s="2">
        <v>5712531</v>
      </c>
      <c r="AK75">
        <v>0</v>
      </c>
      <c r="AL75" s="2">
        <v>0</v>
      </c>
      <c r="AM75">
        <v>0</v>
      </c>
      <c r="AN75">
        <v>0</v>
      </c>
      <c r="AO75">
        <v>673.57</v>
      </c>
      <c r="AP75">
        <v>6368.84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5</v>
      </c>
      <c r="BC75">
        <v>5</v>
      </c>
      <c r="BD75">
        <v>250</v>
      </c>
      <c r="BE75">
        <v>7920</v>
      </c>
      <c r="BF75">
        <v>60</v>
      </c>
      <c r="BG75">
        <v>20</v>
      </c>
      <c r="BH75" s="2">
        <v>20</v>
      </c>
      <c r="BI75" t="b">
        <v>1</v>
      </c>
      <c r="BJ75">
        <v>3</v>
      </c>
      <c r="BK75">
        <v>0</v>
      </c>
      <c r="BM75" t="b">
        <v>1</v>
      </c>
      <c r="BN75" t="b">
        <v>0</v>
      </c>
      <c r="BO75">
        <v>7</v>
      </c>
      <c r="BP75" s="2">
        <v>450000</v>
      </c>
      <c r="BQ75" t="s">
        <v>189</v>
      </c>
      <c r="BR75">
        <v>244316</v>
      </c>
      <c r="BS75" t="b">
        <v>0</v>
      </c>
      <c r="BT75" t="b">
        <v>0</v>
      </c>
      <c r="BU75">
        <v>60</v>
      </c>
      <c r="BV75" t="s">
        <v>39</v>
      </c>
      <c r="BW75">
        <v>0</v>
      </c>
      <c r="BX75" t="s">
        <v>190</v>
      </c>
      <c r="BY75" t="b">
        <v>0</v>
      </c>
      <c r="CA75" t="s">
        <v>165</v>
      </c>
      <c r="CB75" t="b">
        <v>0</v>
      </c>
    </row>
    <row r="76" spans="1:80" x14ac:dyDescent="0.2">
      <c r="M76" t="s">
        <v>40</v>
      </c>
      <c r="N76" s="1">
        <v>44175.641238425924</v>
      </c>
      <c r="O76">
        <v>10903415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120000</v>
      </c>
      <c r="AA76">
        <v>133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>
        <v>0</v>
      </c>
      <c r="AL76" s="2">
        <v>0</v>
      </c>
      <c r="AM76">
        <v>0</v>
      </c>
      <c r="AN76">
        <v>0</v>
      </c>
      <c r="AO76">
        <v>0</v>
      </c>
      <c r="AP76">
        <v>0</v>
      </c>
      <c r="AQ76">
        <v>100</v>
      </c>
      <c r="AR76">
        <v>351</v>
      </c>
      <c r="AS76">
        <v>3.2199999999999999E-2</v>
      </c>
      <c r="AT76">
        <v>84613</v>
      </c>
      <c r="AU76">
        <v>7.7602000000000002</v>
      </c>
      <c r="AV76">
        <v>36108</v>
      </c>
      <c r="AW76">
        <v>3.3115999999999999</v>
      </c>
      <c r="AX76">
        <v>180601</v>
      </c>
      <c r="AY76">
        <v>5600</v>
      </c>
      <c r="AZ76">
        <v>57954139</v>
      </c>
      <c r="BA76">
        <v>1435.65</v>
      </c>
      <c r="BB76">
        <v>1</v>
      </c>
      <c r="BC76">
        <v>10</v>
      </c>
      <c r="BD76">
        <v>-1</v>
      </c>
      <c r="BE76">
        <v>-1</v>
      </c>
      <c r="BF76">
        <v>60</v>
      </c>
      <c r="BG76">
        <v>20</v>
      </c>
      <c r="BH76" s="2">
        <v>20</v>
      </c>
      <c r="BI76" t="b">
        <v>1</v>
      </c>
      <c r="BJ76">
        <v>3</v>
      </c>
      <c r="BK76">
        <v>0</v>
      </c>
      <c r="BM76" t="b">
        <v>1</v>
      </c>
      <c r="BN76" t="b">
        <v>0</v>
      </c>
      <c r="BO76">
        <v>1</v>
      </c>
      <c r="BP76" s="2">
        <v>-1</v>
      </c>
      <c r="BQ76" t="s">
        <v>189</v>
      </c>
      <c r="BR76">
        <v>244316</v>
      </c>
      <c r="BS76" t="b">
        <v>0</v>
      </c>
      <c r="BT76" t="b">
        <v>1</v>
      </c>
      <c r="BU76">
        <v>60</v>
      </c>
      <c r="BV76" t="s">
        <v>39</v>
      </c>
      <c r="BW76">
        <v>0</v>
      </c>
      <c r="BX76" t="s">
        <v>166</v>
      </c>
      <c r="BY76" t="b">
        <v>0</v>
      </c>
      <c r="BZ76" t="s">
        <v>216</v>
      </c>
      <c r="CA76" t="s">
        <v>213</v>
      </c>
      <c r="CB76" t="b">
        <v>1</v>
      </c>
    </row>
    <row r="77" spans="1:80" x14ac:dyDescent="0.2">
      <c r="M77" t="s">
        <v>40</v>
      </c>
      <c r="N77" s="1">
        <v>44175.661805555559</v>
      </c>
      <c r="O77">
        <v>9129601</v>
      </c>
      <c r="P77">
        <v>33675</v>
      </c>
      <c r="Q77">
        <v>3.6886000000000001</v>
      </c>
      <c r="R77">
        <v>17922</v>
      </c>
      <c r="S77">
        <v>1.9631000000000001</v>
      </c>
      <c r="T77">
        <v>360</v>
      </c>
      <c r="U77">
        <v>3.9399999999999998E-2</v>
      </c>
      <c r="V77">
        <v>901413</v>
      </c>
      <c r="W77">
        <v>98.735200000000006</v>
      </c>
      <c r="X77">
        <v>929159</v>
      </c>
      <c r="Y77">
        <v>101.7743</v>
      </c>
      <c r="Z77">
        <v>120000</v>
      </c>
      <c r="AA77">
        <v>19</v>
      </c>
      <c r="AB77" s="2">
        <v>31579</v>
      </c>
      <c r="AC77" s="2">
        <v>5305</v>
      </c>
      <c r="AD77" s="2">
        <v>10735649</v>
      </c>
      <c r="AE77" s="2">
        <v>36545</v>
      </c>
      <c r="AF77" s="2">
        <v>6165</v>
      </c>
      <c r="AG77" s="2">
        <v>4408095</v>
      </c>
      <c r="AH77" s="2">
        <v>9612</v>
      </c>
      <c r="AI77" s="2">
        <v>4818</v>
      </c>
      <c r="AJ77" s="2">
        <v>4709353</v>
      </c>
      <c r="AK77">
        <v>0</v>
      </c>
      <c r="AL77" s="2">
        <v>0</v>
      </c>
      <c r="AM77">
        <v>0</v>
      </c>
      <c r="AN77">
        <v>0</v>
      </c>
      <c r="AO77">
        <v>695.24</v>
      </c>
      <c r="AP77">
        <v>18611.23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</v>
      </c>
      <c r="BC77">
        <v>5</v>
      </c>
      <c r="BD77">
        <v>250</v>
      </c>
      <c r="BE77">
        <v>7920</v>
      </c>
      <c r="BF77">
        <v>60</v>
      </c>
      <c r="BG77">
        <v>20</v>
      </c>
      <c r="BH77" s="2">
        <v>20</v>
      </c>
      <c r="BI77" t="b">
        <v>1</v>
      </c>
      <c r="BJ77">
        <v>3</v>
      </c>
      <c r="BK77">
        <v>0</v>
      </c>
      <c r="BM77" t="b">
        <v>1</v>
      </c>
      <c r="BN77" t="b">
        <v>0</v>
      </c>
      <c r="BO77">
        <v>7</v>
      </c>
      <c r="BP77" s="2">
        <v>450000</v>
      </c>
      <c r="BQ77" t="s">
        <v>189</v>
      </c>
      <c r="BR77">
        <v>244316</v>
      </c>
      <c r="BS77" t="b">
        <v>0</v>
      </c>
      <c r="BT77" t="b">
        <v>0</v>
      </c>
      <c r="BU77">
        <v>60</v>
      </c>
      <c r="BV77" t="s">
        <v>39</v>
      </c>
      <c r="BW77">
        <v>0</v>
      </c>
      <c r="BX77" t="s">
        <v>190</v>
      </c>
      <c r="BY77" t="b">
        <v>0</v>
      </c>
      <c r="CA77" t="s">
        <v>165</v>
      </c>
      <c r="CB77" t="b">
        <v>0</v>
      </c>
    </row>
    <row r="78" spans="1:80" x14ac:dyDescent="0.2">
      <c r="M78" t="s">
        <v>40</v>
      </c>
      <c r="N78" s="1">
        <v>44175.641238425924</v>
      </c>
      <c r="O78">
        <v>10903537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120000</v>
      </c>
      <c r="AA78">
        <v>82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>
        <v>0</v>
      </c>
      <c r="AL78" s="2">
        <v>0</v>
      </c>
      <c r="AM78">
        <v>0</v>
      </c>
      <c r="AN78">
        <v>0</v>
      </c>
      <c r="AO78">
        <v>0</v>
      </c>
      <c r="AP78">
        <v>0</v>
      </c>
      <c r="AQ78">
        <v>100</v>
      </c>
      <c r="AR78">
        <v>491</v>
      </c>
      <c r="AS78">
        <v>4.4999999999999998E-2</v>
      </c>
      <c r="AT78">
        <v>175364</v>
      </c>
      <c r="AU78">
        <v>16.083200000000001</v>
      </c>
      <c r="AV78">
        <v>36156</v>
      </c>
      <c r="AW78">
        <v>3.3159999999999998</v>
      </c>
      <c r="AX78">
        <v>211264</v>
      </c>
      <c r="AY78">
        <v>5415</v>
      </c>
      <c r="AZ78">
        <v>59033068</v>
      </c>
      <c r="BA78">
        <v>3031.96</v>
      </c>
      <c r="BB78">
        <v>1</v>
      </c>
      <c r="BC78">
        <v>10</v>
      </c>
      <c r="BD78">
        <v>-1</v>
      </c>
      <c r="BE78">
        <v>-1</v>
      </c>
      <c r="BF78">
        <v>60</v>
      </c>
      <c r="BG78">
        <v>20</v>
      </c>
      <c r="BH78" s="2">
        <v>20</v>
      </c>
      <c r="BI78" t="b">
        <v>1</v>
      </c>
      <c r="BJ78">
        <v>3</v>
      </c>
      <c r="BK78">
        <v>0</v>
      </c>
      <c r="BM78" t="b">
        <v>1</v>
      </c>
      <c r="BN78" t="b">
        <v>0</v>
      </c>
      <c r="BO78">
        <v>1</v>
      </c>
      <c r="BP78" s="2">
        <v>-1</v>
      </c>
      <c r="BQ78" t="s">
        <v>189</v>
      </c>
      <c r="BR78">
        <v>244316</v>
      </c>
      <c r="BS78" t="b">
        <v>0</v>
      </c>
      <c r="BT78" t="b">
        <v>1</v>
      </c>
      <c r="BU78">
        <v>60</v>
      </c>
      <c r="BV78" t="s">
        <v>39</v>
      </c>
      <c r="BW78">
        <v>0</v>
      </c>
      <c r="BX78" t="s">
        <v>166</v>
      </c>
      <c r="BY78" t="b">
        <v>0</v>
      </c>
      <c r="BZ78" t="s">
        <v>216</v>
      </c>
      <c r="CA78" t="s">
        <v>213</v>
      </c>
      <c r="CB78" t="b">
        <v>1</v>
      </c>
    </row>
    <row r="79" spans="1:80" x14ac:dyDescent="0.2">
      <c r="M79" t="s">
        <v>40</v>
      </c>
      <c r="N79" s="1">
        <v>44175.661805555559</v>
      </c>
      <c r="O79">
        <v>9129601</v>
      </c>
      <c r="P79">
        <v>33626</v>
      </c>
      <c r="Q79">
        <v>3.6831999999999998</v>
      </c>
      <c r="R79">
        <v>17888</v>
      </c>
      <c r="S79">
        <v>1.9593</v>
      </c>
      <c r="T79">
        <v>360</v>
      </c>
      <c r="U79">
        <v>3.9399999999999998E-2</v>
      </c>
      <c r="V79">
        <v>594022</v>
      </c>
      <c r="W79">
        <v>65.0655</v>
      </c>
      <c r="X79">
        <v>611813</v>
      </c>
      <c r="Y79">
        <v>67.014200000000002</v>
      </c>
      <c r="Z79">
        <v>120000</v>
      </c>
      <c r="AA79">
        <v>95</v>
      </c>
      <c r="AB79" s="2">
        <v>27536</v>
      </c>
      <c r="AC79" s="2">
        <v>5213</v>
      </c>
      <c r="AD79" s="2">
        <v>11953350</v>
      </c>
      <c r="AE79" s="2">
        <v>29346</v>
      </c>
      <c r="AF79" s="2">
        <v>6166</v>
      </c>
      <c r="AG79" s="2">
        <v>2378011</v>
      </c>
      <c r="AH79" s="2">
        <v>14883</v>
      </c>
      <c r="AI79" s="2">
        <v>6830</v>
      </c>
      <c r="AJ79" s="2">
        <v>3910414</v>
      </c>
      <c r="AK79">
        <v>0</v>
      </c>
      <c r="AL79" s="2">
        <v>0</v>
      </c>
      <c r="AM79">
        <v>0</v>
      </c>
      <c r="AN79">
        <v>0</v>
      </c>
      <c r="AO79">
        <v>690.58</v>
      </c>
      <c r="AP79">
        <v>12198.26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5</v>
      </c>
      <c r="BC79">
        <v>5</v>
      </c>
      <c r="BD79">
        <v>250</v>
      </c>
      <c r="BE79">
        <v>7920</v>
      </c>
      <c r="BF79">
        <v>60</v>
      </c>
      <c r="BG79">
        <v>20</v>
      </c>
      <c r="BH79" s="2">
        <v>20</v>
      </c>
      <c r="BI79" t="b">
        <v>1</v>
      </c>
      <c r="BJ79">
        <v>3</v>
      </c>
      <c r="BK79">
        <v>0</v>
      </c>
      <c r="BM79" t="b">
        <v>1</v>
      </c>
      <c r="BN79" t="b">
        <v>0</v>
      </c>
      <c r="BO79">
        <v>7</v>
      </c>
      <c r="BP79" s="2">
        <v>450000</v>
      </c>
      <c r="BQ79" t="s">
        <v>189</v>
      </c>
      <c r="BR79">
        <v>244316</v>
      </c>
      <c r="BS79" t="b">
        <v>0</v>
      </c>
      <c r="BT79" t="b">
        <v>0</v>
      </c>
      <c r="BU79">
        <v>60</v>
      </c>
      <c r="BV79" t="s">
        <v>39</v>
      </c>
      <c r="BW79">
        <v>0</v>
      </c>
      <c r="BX79" t="s">
        <v>190</v>
      </c>
      <c r="BY79" t="b">
        <v>0</v>
      </c>
      <c r="CA79" t="s">
        <v>165</v>
      </c>
      <c r="CB79" t="b">
        <v>0</v>
      </c>
    </row>
    <row r="80" spans="1:80" x14ac:dyDescent="0.2">
      <c r="M80" t="s">
        <v>40</v>
      </c>
      <c r="N80" s="1">
        <v>44175.641250000001</v>
      </c>
      <c r="O80">
        <v>10903005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120000</v>
      </c>
      <c r="AA80">
        <v>54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>
        <v>0</v>
      </c>
      <c r="AL80" s="2">
        <v>0</v>
      </c>
      <c r="AM80">
        <v>0</v>
      </c>
      <c r="AN80">
        <v>0</v>
      </c>
      <c r="AO80">
        <v>0</v>
      </c>
      <c r="AP80">
        <v>0</v>
      </c>
      <c r="AQ80">
        <v>100</v>
      </c>
      <c r="AR80">
        <v>487</v>
      </c>
      <c r="AS80">
        <v>4.4699999999999997E-2</v>
      </c>
      <c r="AT80">
        <v>176878</v>
      </c>
      <c r="AU80">
        <v>16.222899999999999</v>
      </c>
      <c r="AV80">
        <v>36186</v>
      </c>
      <c r="AW80">
        <v>3.3189000000000002</v>
      </c>
      <c r="AX80">
        <v>158452</v>
      </c>
      <c r="AY80">
        <v>4954</v>
      </c>
      <c r="AZ80">
        <v>57400442</v>
      </c>
      <c r="BA80">
        <v>3038.08</v>
      </c>
      <c r="BB80">
        <v>1</v>
      </c>
      <c r="BC80">
        <v>10</v>
      </c>
      <c r="BD80">
        <v>-1</v>
      </c>
      <c r="BE80">
        <v>-1</v>
      </c>
      <c r="BF80">
        <v>60</v>
      </c>
      <c r="BG80">
        <v>20</v>
      </c>
      <c r="BH80" s="2">
        <v>20</v>
      </c>
      <c r="BI80" t="b">
        <v>1</v>
      </c>
      <c r="BJ80">
        <v>3</v>
      </c>
      <c r="BK80">
        <v>0</v>
      </c>
      <c r="BM80" t="b">
        <v>1</v>
      </c>
      <c r="BN80" t="b">
        <v>0</v>
      </c>
      <c r="BO80">
        <v>1</v>
      </c>
      <c r="BP80" s="2">
        <v>-1</v>
      </c>
      <c r="BQ80" t="s">
        <v>189</v>
      </c>
      <c r="BR80">
        <v>244316</v>
      </c>
      <c r="BS80" t="b">
        <v>0</v>
      </c>
      <c r="BT80" t="b">
        <v>1</v>
      </c>
      <c r="BU80">
        <v>60</v>
      </c>
      <c r="BV80" t="s">
        <v>39</v>
      </c>
      <c r="BW80">
        <v>0</v>
      </c>
      <c r="BX80" t="s">
        <v>166</v>
      </c>
      <c r="BY80" t="b">
        <v>0</v>
      </c>
      <c r="BZ80" t="s">
        <v>216</v>
      </c>
      <c r="CA80" t="s">
        <v>213</v>
      </c>
      <c r="CB80" t="b">
        <v>1</v>
      </c>
    </row>
    <row r="81" spans="13:80" x14ac:dyDescent="0.2">
      <c r="M81" t="s">
        <v>40</v>
      </c>
      <c r="N81" s="1">
        <v>44175.661805555559</v>
      </c>
      <c r="O81">
        <v>9129601</v>
      </c>
      <c r="P81">
        <v>33192</v>
      </c>
      <c r="Q81">
        <v>3.6356000000000002</v>
      </c>
      <c r="R81">
        <v>17735</v>
      </c>
      <c r="S81">
        <v>1.9426000000000001</v>
      </c>
      <c r="T81">
        <v>360</v>
      </c>
      <c r="U81">
        <v>3.9399999999999998E-2</v>
      </c>
      <c r="V81">
        <v>523969</v>
      </c>
      <c r="W81">
        <v>57.392299999999999</v>
      </c>
      <c r="X81">
        <v>544093</v>
      </c>
      <c r="Y81">
        <v>59.596600000000002</v>
      </c>
      <c r="Z81">
        <v>120000</v>
      </c>
      <c r="AA81">
        <v>45</v>
      </c>
      <c r="AB81" s="2">
        <v>51816</v>
      </c>
      <c r="AC81" s="2">
        <v>3963</v>
      </c>
      <c r="AD81" s="2">
        <v>16099868</v>
      </c>
      <c r="AE81" s="2">
        <v>62594</v>
      </c>
      <c r="AF81" s="2">
        <v>4889</v>
      </c>
      <c r="AG81" s="2">
        <v>5647202</v>
      </c>
      <c r="AH81" s="2">
        <v>16755</v>
      </c>
      <c r="AI81" s="2">
        <v>8633</v>
      </c>
      <c r="AJ81" s="2">
        <v>5697657</v>
      </c>
      <c r="AK81">
        <v>0</v>
      </c>
      <c r="AL81" s="2">
        <v>0</v>
      </c>
      <c r="AM81">
        <v>0</v>
      </c>
      <c r="AN81">
        <v>0</v>
      </c>
      <c r="AO81">
        <v>681.56</v>
      </c>
      <c r="AP81">
        <v>10758.88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</v>
      </c>
      <c r="BC81">
        <v>5</v>
      </c>
      <c r="BD81">
        <v>250</v>
      </c>
      <c r="BE81">
        <v>7920</v>
      </c>
      <c r="BF81">
        <v>60</v>
      </c>
      <c r="BG81">
        <v>20</v>
      </c>
      <c r="BH81" s="2">
        <v>20</v>
      </c>
      <c r="BI81" t="b">
        <v>1</v>
      </c>
      <c r="BJ81">
        <v>3</v>
      </c>
      <c r="BK81">
        <v>0</v>
      </c>
      <c r="BM81" t="b">
        <v>1</v>
      </c>
      <c r="BN81" t="b">
        <v>0</v>
      </c>
      <c r="BO81">
        <v>7</v>
      </c>
      <c r="BP81" s="2">
        <v>450000</v>
      </c>
      <c r="BQ81" t="s">
        <v>189</v>
      </c>
      <c r="BR81">
        <v>244316</v>
      </c>
      <c r="BS81" t="b">
        <v>0</v>
      </c>
      <c r="BT81" t="b">
        <v>0</v>
      </c>
      <c r="BU81">
        <v>60</v>
      </c>
      <c r="BV81" t="s">
        <v>39</v>
      </c>
      <c r="BW81">
        <v>0</v>
      </c>
      <c r="BX81" t="s">
        <v>190</v>
      </c>
      <c r="BY81" t="b">
        <v>0</v>
      </c>
      <c r="CA81" t="s">
        <v>165</v>
      </c>
      <c r="CB81" t="b">
        <v>0</v>
      </c>
    </row>
    <row r="82" spans="13:80" x14ac:dyDescent="0.2">
      <c r="M82" t="s">
        <v>40</v>
      </c>
      <c r="N82" s="1">
        <v>44175.641238425924</v>
      </c>
      <c r="O82">
        <v>10903685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120000</v>
      </c>
      <c r="AA82">
        <v>54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>
        <v>0</v>
      </c>
      <c r="AL82" s="2">
        <v>0</v>
      </c>
      <c r="AM82">
        <v>0</v>
      </c>
      <c r="AN82">
        <v>0</v>
      </c>
      <c r="AO82">
        <v>0</v>
      </c>
      <c r="AP82">
        <v>0</v>
      </c>
      <c r="AQ82">
        <v>100</v>
      </c>
      <c r="AR82">
        <v>543</v>
      </c>
      <c r="AS82">
        <v>4.9799999999999997E-2</v>
      </c>
      <c r="AT82">
        <v>172382</v>
      </c>
      <c r="AU82">
        <v>15.8095</v>
      </c>
      <c r="AV82">
        <v>36186</v>
      </c>
      <c r="AW82">
        <v>3.3187000000000002</v>
      </c>
      <c r="AX82">
        <v>171440</v>
      </c>
      <c r="AY82">
        <v>3909</v>
      </c>
      <c r="AZ82">
        <v>58208773</v>
      </c>
      <c r="BA82">
        <v>2967.11</v>
      </c>
      <c r="BB82">
        <v>1</v>
      </c>
      <c r="BC82">
        <v>10</v>
      </c>
      <c r="BD82">
        <v>-1</v>
      </c>
      <c r="BE82">
        <v>-1</v>
      </c>
      <c r="BF82">
        <v>60</v>
      </c>
      <c r="BG82">
        <v>20</v>
      </c>
      <c r="BH82" s="2">
        <v>20</v>
      </c>
      <c r="BI82" t="b">
        <v>1</v>
      </c>
      <c r="BJ82">
        <v>3</v>
      </c>
      <c r="BK82">
        <v>0</v>
      </c>
      <c r="BM82" t="b">
        <v>1</v>
      </c>
      <c r="BN82" t="b">
        <v>0</v>
      </c>
      <c r="BO82">
        <v>1</v>
      </c>
      <c r="BP82" s="2">
        <v>-1</v>
      </c>
      <c r="BQ82" t="s">
        <v>189</v>
      </c>
      <c r="BR82">
        <v>244316</v>
      </c>
      <c r="BS82" t="b">
        <v>0</v>
      </c>
      <c r="BT82" t="b">
        <v>1</v>
      </c>
      <c r="BU82">
        <v>60</v>
      </c>
      <c r="BV82" t="s">
        <v>39</v>
      </c>
      <c r="BW82">
        <v>0</v>
      </c>
      <c r="BX82" t="s">
        <v>166</v>
      </c>
      <c r="BY82" t="b">
        <v>0</v>
      </c>
      <c r="BZ82" t="s">
        <v>216</v>
      </c>
      <c r="CA82" t="s">
        <v>213</v>
      </c>
      <c r="CB82" t="b">
        <v>1</v>
      </c>
    </row>
    <row r="83" spans="13:80" x14ac:dyDescent="0.2">
      <c r="M83" t="s">
        <v>40</v>
      </c>
      <c r="N83" s="1">
        <v>44175.661805555559</v>
      </c>
      <c r="O83">
        <v>9129601</v>
      </c>
      <c r="P83">
        <v>33660</v>
      </c>
      <c r="Q83">
        <v>3.6869000000000001</v>
      </c>
      <c r="R83">
        <v>17813</v>
      </c>
      <c r="S83">
        <v>1.9511000000000001</v>
      </c>
      <c r="T83">
        <v>360</v>
      </c>
      <c r="U83">
        <v>3.9399999999999998E-2</v>
      </c>
      <c r="V83">
        <v>501211</v>
      </c>
      <c r="W83">
        <v>54.8996</v>
      </c>
      <c r="X83">
        <v>521141</v>
      </c>
      <c r="Y83">
        <v>57.082599999999999</v>
      </c>
      <c r="Z83">
        <v>120000</v>
      </c>
      <c r="AA83">
        <v>33</v>
      </c>
      <c r="AB83" s="2">
        <v>31974</v>
      </c>
      <c r="AC83" s="2">
        <v>3829</v>
      </c>
      <c r="AD83" s="2">
        <v>11876737</v>
      </c>
      <c r="AE83" s="2">
        <v>24640</v>
      </c>
      <c r="AF83" s="2">
        <v>4550</v>
      </c>
      <c r="AG83" s="2">
        <v>1834477</v>
      </c>
      <c r="AH83" s="2">
        <v>17498</v>
      </c>
      <c r="AI83" s="2">
        <v>6595</v>
      </c>
      <c r="AJ83" s="2">
        <v>21860011</v>
      </c>
      <c r="AK83">
        <v>0</v>
      </c>
      <c r="AL83" s="2">
        <v>0</v>
      </c>
      <c r="AM83">
        <v>0</v>
      </c>
      <c r="AN83">
        <v>0</v>
      </c>
      <c r="AO83">
        <v>691.42</v>
      </c>
      <c r="AP83">
        <v>10292.48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5</v>
      </c>
      <c r="BC83">
        <v>5</v>
      </c>
      <c r="BD83">
        <v>250</v>
      </c>
      <c r="BE83">
        <v>7920</v>
      </c>
      <c r="BF83">
        <v>60</v>
      </c>
      <c r="BG83">
        <v>20</v>
      </c>
      <c r="BH83" s="2">
        <v>20</v>
      </c>
      <c r="BI83" t="b">
        <v>1</v>
      </c>
      <c r="BJ83">
        <v>3</v>
      </c>
      <c r="BK83">
        <v>0</v>
      </c>
      <c r="BM83" t="b">
        <v>1</v>
      </c>
      <c r="BN83" t="b">
        <v>0</v>
      </c>
      <c r="BO83">
        <v>7</v>
      </c>
      <c r="BP83" s="2">
        <v>450000</v>
      </c>
      <c r="BQ83" t="s">
        <v>189</v>
      </c>
      <c r="BR83">
        <v>244316</v>
      </c>
      <c r="BS83" t="b">
        <v>0</v>
      </c>
      <c r="BT83" t="b">
        <v>0</v>
      </c>
      <c r="BU83">
        <v>60</v>
      </c>
      <c r="BV83" t="s">
        <v>39</v>
      </c>
      <c r="BW83">
        <v>0</v>
      </c>
      <c r="BX83" t="s">
        <v>190</v>
      </c>
      <c r="BY83" t="b">
        <v>0</v>
      </c>
      <c r="CA83" t="s">
        <v>165</v>
      </c>
      <c r="CB83" t="b">
        <v>0</v>
      </c>
    </row>
    <row r="84" spans="13:80" x14ac:dyDescent="0.2">
      <c r="M84" t="s">
        <v>40</v>
      </c>
      <c r="N84" s="1">
        <v>44175.641238425924</v>
      </c>
      <c r="O84">
        <v>10903647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120000</v>
      </c>
      <c r="AA84">
        <v>52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>
        <v>0</v>
      </c>
      <c r="AL84" s="2">
        <v>0</v>
      </c>
      <c r="AM84">
        <v>0</v>
      </c>
      <c r="AN84">
        <v>0</v>
      </c>
      <c r="AO84">
        <v>0</v>
      </c>
      <c r="AP84">
        <v>0</v>
      </c>
      <c r="AQ84">
        <v>100</v>
      </c>
      <c r="AR84">
        <v>421</v>
      </c>
      <c r="AS84">
        <v>3.8600000000000002E-2</v>
      </c>
      <c r="AT84">
        <v>172807</v>
      </c>
      <c r="AU84">
        <v>15.848599999999999</v>
      </c>
      <c r="AV84">
        <v>36196</v>
      </c>
      <c r="AW84">
        <v>3.3195999999999999</v>
      </c>
      <c r="AX84">
        <v>154598</v>
      </c>
      <c r="AY84">
        <v>6544</v>
      </c>
      <c r="AZ84">
        <v>58182153</v>
      </c>
      <c r="BA84">
        <v>2970.05</v>
      </c>
      <c r="BB84">
        <v>1</v>
      </c>
      <c r="BC84">
        <v>10</v>
      </c>
      <c r="BD84">
        <v>-1</v>
      </c>
      <c r="BE84">
        <v>-1</v>
      </c>
      <c r="BF84">
        <v>60</v>
      </c>
      <c r="BG84">
        <v>20</v>
      </c>
      <c r="BH84" s="2">
        <v>20</v>
      </c>
      <c r="BI84" t="b">
        <v>1</v>
      </c>
      <c r="BJ84">
        <v>3</v>
      </c>
      <c r="BK84">
        <v>0</v>
      </c>
      <c r="BM84" t="b">
        <v>1</v>
      </c>
      <c r="BN84" t="b">
        <v>0</v>
      </c>
      <c r="BO84">
        <v>1</v>
      </c>
      <c r="BP84" s="2">
        <v>-1</v>
      </c>
      <c r="BQ84" t="s">
        <v>189</v>
      </c>
      <c r="BR84">
        <v>244316</v>
      </c>
      <c r="BS84" t="b">
        <v>0</v>
      </c>
      <c r="BT84" t="b">
        <v>1</v>
      </c>
      <c r="BU84">
        <v>60</v>
      </c>
      <c r="BV84" t="s">
        <v>39</v>
      </c>
      <c r="BW84">
        <v>0</v>
      </c>
      <c r="BX84" t="s">
        <v>166</v>
      </c>
      <c r="BY84" t="b">
        <v>0</v>
      </c>
      <c r="BZ84" t="s">
        <v>216</v>
      </c>
      <c r="CA84" t="s">
        <v>213</v>
      </c>
      <c r="CB84" t="b">
        <v>1</v>
      </c>
    </row>
    <row r="85" spans="13:80" x14ac:dyDescent="0.2">
      <c r="M85" t="s">
        <v>40</v>
      </c>
      <c r="N85" s="1">
        <v>44175.661863425928</v>
      </c>
      <c r="O85">
        <v>9129602</v>
      </c>
      <c r="P85">
        <v>33213</v>
      </c>
      <c r="Q85">
        <v>3.6379000000000001</v>
      </c>
      <c r="R85">
        <v>17955</v>
      </c>
      <c r="S85">
        <v>1.9666999999999999</v>
      </c>
      <c r="T85">
        <v>360</v>
      </c>
      <c r="U85">
        <v>3.9399999999999998E-2</v>
      </c>
      <c r="V85">
        <v>521254</v>
      </c>
      <c r="W85">
        <v>57.094900000000003</v>
      </c>
      <c r="X85">
        <v>536190</v>
      </c>
      <c r="Y85">
        <v>58.730899999999998</v>
      </c>
      <c r="Z85">
        <v>120000</v>
      </c>
      <c r="AA85">
        <v>20</v>
      </c>
      <c r="AB85" s="2">
        <v>50958</v>
      </c>
      <c r="AC85" s="2">
        <v>5286</v>
      </c>
      <c r="AD85" s="2">
        <v>16037110</v>
      </c>
      <c r="AE85" s="2">
        <v>48285</v>
      </c>
      <c r="AF85" s="2">
        <v>5920</v>
      </c>
      <c r="AG85" s="2">
        <v>3651552</v>
      </c>
      <c r="AH85" s="2">
        <v>16992</v>
      </c>
      <c r="AI85" s="2">
        <v>8791</v>
      </c>
      <c r="AJ85" s="2">
        <v>3909435</v>
      </c>
      <c r="AK85">
        <v>0</v>
      </c>
      <c r="AL85" s="2">
        <v>0</v>
      </c>
      <c r="AM85">
        <v>0</v>
      </c>
      <c r="AN85">
        <v>0</v>
      </c>
      <c r="AO85">
        <v>678.41</v>
      </c>
      <c r="AP85">
        <v>10649.03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5</v>
      </c>
      <c r="BD85">
        <v>250</v>
      </c>
      <c r="BE85">
        <v>7920</v>
      </c>
      <c r="BF85">
        <v>60</v>
      </c>
      <c r="BG85">
        <v>20</v>
      </c>
      <c r="BH85" s="2">
        <v>20</v>
      </c>
      <c r="BI85" t="b">
        <v>1</v>
      </c>
      <c r="BJ85">
        <v>3</v>
      </c>
      <c r="BK85">
        <v>0</v>
      </c>
      <c r="BM85" t="b">
        <v>1</v>
      </c>
      <c r="BN85" t="b">
        <v>0</v>
      </c>
      <c r="BO85">
        <v>7</v>
      </c>
      <c r="BP85" s="2">
        <v>450000</v>
      </c>
      <c r="BQ85" t="s">
        <v>189</v>
      </c>
      <c r="BR85">
        <v>244316</v>
      </c>
      <c r="BS85" t="b">
        <v>0</v>
      </c>
      <c r="BT85" t="b">
        <v>0</v>
      </c>
      <c r="BU85">
        <v>60</v>
      </c>
      <c r="BV85" t="s">
        <v>39</v>
      </c>
      <c r="BW85">
        <v>0</v>
      </c>
      <c r="BX85" t="s">
        <v>190</v>
      </c>
      <c r="BY85" t="b">
        <v>0</v>
      </c>
      <c r="CA85" t="s">
        <v>165</v>
      </c>
      <c r="CB85" t="b">
        <v>0</v>
      </c>
    </row>
    <row r="86" spans="13:80" x14ac:dyDescent="0.2">
      <c r="M86" t="s">
        <v>40</v>
      </c>
      <c r="N86" s="1">
        <v>44175.641238425924</v>
      </c>
      <c r="O86">
        <v>10903485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120000</v>
      </c>
      <c r="AA86">
        <v>154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>
        <v>0</v>
      </c>
      <c r="AL86" s="2">
        <v>0</v>
      </c>
      <c r="AM86">
        <v>0</v>
      </c>
      <c r="AN86">
        <v>0</v>
      </c>
      <c r="AO86">
        <v>0</v>
      </c>
      <c r="AP86">
        <v>0</v>
      </c>
      <c r="AQ86">
        <v>100</v>
      </c>
      <c r="AR86">
        <v>443</v>
      </c>
      <c r="AS86">
        <v>4.0599999999999997E-2</v>
      </c>
      <c r="AT86">
        <v>176908</v>
      </c>
      <c r="AU86">
        <v>16.224900000000002</v>
      </c>
      <c r="AV86">
        <v>36082</v>
      </c>
      <c r="AW86">
        <v>3.3092000000000001</v>
      </c>
      <c r="AX86">
        <v>150148</v>
      </c>
      <c r="AY86">
        <v>4869</v>
      </c>
      <c r="AZ86">
        <v>57879635</v>
      </c>
      <c r="BA86">
        <v>3031.39</v>
      </c>
      <c r="BB86">
        <v>1</v>
      </c>
      <c r="BC86">
        <v>10</v>
      </c>
      <c r="BD86">
        <v>-1</v>
      </c>
      <c r="BE86">
        <v>-1</v>
      </c>
      <c r="BF86">
        <v>60</v>
      </c>
      <c r="BG86">
        <v>20</v>
      </c>
      <c r="BH86" s="2">
        <v>20</v>
      </c>
      <c r="BI86" t="b">
        <v>1</v>
      </c>
      <c r="BJ86">
        <v>3</v>
      </c>
      <c r="BK86">
        <v>0</v>
      </c>
      <c r="BM86" t="b">
        <v>1</v>
      </c>
      <c r="BN86" t="b">
        <v>0</v>
      </c>
      <c r="BO86">
        <v>1</v>
      </c>
      <c r="BP86" s="2">
        <v>-1</v>
      </c>
      <c r="BQ86" t="s">
        <v>189</v>
      </c>
      <c r="BR86">
        <v>244316</v>
      </c>
      <c r="BS86" t="b">
        <v>0</v>
      </c>
      <c r="BT86" t="b">
        <v>1</v>
      </c>
      <c r="BU86">
        <v>60</v>
      </c>
      <c r="BV86" t="s">
        <v>39</v>
      </c>
      <c r="BW86">
        <v>0</v>
      </c>
      <c r="BX86" t="s">
        <v>166</v>
      </c>
      <c r="BY86" t="b">
        <v>0</v>
      </c>
      <c r="BZ86" t="s">
        <v>216</v>
      </c>
      <c r="CA86" t="s">
        <v>213</v>
      </c>
      <c r="CB86" t="b">
        <v>1</v>
      </c>
    </row>
    <row r="87" spans="13:80" x14ac:dyDescent="0.2">
      <c r="M87" t="s">
        <v>40</v>
      </c>
      <c r="N87" s="1">
        <v>44175.661805555559</v>
      </c>
      <c r="O87">
        <v>9129601</v>
      </c>
      <c r="P87">
        <v>33653</v>
      </c>
      <c r="Q87">
        <v>3.6861000000000002</v>
      </c>
      <c r="R87">
        <v>17933</v>
      </c>
      <c r="S87">
        <v>1.9642999999999999</v>
      </c>
      <c r="T87">
        <v>360</v>
      </c>
      <c r="U87">
        <v>3.9399999999999998E-2</v>
      </c>
      <c r="V87">
        <v>898400</v>
      </c>
      <c r="W87">
        <v>98.405199999999994</v>
      </c>
      <c r="X87">
        <v>923004</v>
      </c>
      <c r="Y87">
        <v>101.1001</v>
      </c>
      <c r="Z87">
        <v>120000</v>
      </c>
      <c r="AA87">
        <v>40</v>
      </c>
      <c r="AB87" s="2">
        <v>39500</v>
      </c>
      <c r="AC87" s="2">
        <v>5339</v>
      </c>
      <c r="AD87" s="2">
        <v>10967147</v>
      </c>
      <c r="AE87" s="2">
        <v>71323</v>
      </c>
      <c r="AF87" s="2">
        <v>6213</v>
      </c>
      <c r="AG87" s="2">
        <v>2784521</v>
      </c>
      <c r="AH87" s="2">
        <v>9708</v>
      </c>
      <c r="AI87" s="2">
        <v>4867</v>
      </c>
      <c r="AJ87" s="2">
        <v>4711876</v>
      </c>
      <c r="AK87">
        <v>0</v>
      </c>
      <c r="AL87" s="2">
        <v>0</v>
      </c>
      <c r="AM87">
        <v>0</v>
      </c>
      <c r="AN87">
        <v>0</v>
      </c>
      <c r="AO87">
        <v>687.4</v>
      </c>
      <c r="AP87">
        <v>18352.77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5</v>
      </c>
      <c r="BC87">
        <v>5</v>
      </c>
      <c r="BD87">
        <v>250</v>
      </c>
      <c r="BE87">
        <v>7920</v>
      </c>
      <c r="BF87">
        <v>60</v>
      </c>
      <c r="BG87">
        <v>20</v>
      </c>
      <c r="BH87" s="2">
        <v>20</v>
      </c>
      <c r="BI87" t="b">
        <v>1</v>
      </c>
      <c r="BJ87">
        <v>3</v>
      </c>
      <c r="BK87">
        <v>0</v>
      </c>
      <c r="BM87" t="b">
        <v>1</v>
      </c>
      <c r="BN87" t="b">
        <v>0</v>
      </c>
      <c r="BO87">
        <v>7</v>
      </c>
      <c r="BP87" s="2">
        <v>450000</v>
      </c>
      <c r="BQ87" t="s">
        <v>189</v>
      </c>
      <c r="BR87">
        <v>244316</v>
      </c>
      <c r="BS87" t="b">
        <v>0</v>
      </c>
      <c r="BT87" t="b">
        <v>0</v>
      </c>
      <c r="BU87">
        <v>60</v>
      </c>
      <c r="BV87" t="s">
        <v>39</v>
      </c>
      <c r="BW87">
        <v>0</v>
      </c>
      <c r="BX87" t="s">
        <v>190</v>
      </c>
      <c r="BY87" t="b">
        <v>0</v>
      </c>
      <c r="CA87" t="s">
        <v>165</v>
      </c>
      <c r="CB87" t="b">
        <v>0</v>
      </c>
    </row>
    <row r="88" spans="13:80" x14ac:dyDescent="0.2">
      <c r="M88" t="s">
        <v>40</v>
      </c>
      <c r="N88" s="1">
        <v>44175.641238425924</v>
      </c>
      <c r="O88">
        <v>10903566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120000</v>
      </c>
      <c r="AA88">
        <v>129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>
        <v>0</v>
      </c>
      <c r="AL88" s="2">
        <v>0</v>
      </c>
      <c r="AM88">
        <v>0</v>
      </c>
      <c r="AN88">
        <v>0</v>
      </c>
      <c r="AO88">
        <v>0</v>
      </c>
      <c r="AP88">
        <v>0</v>
      </c>
      <c r="AQ88">
        <v>100</v>
      </c>
      <c r="AR88">
        <v>370</v>
      </c>
      <c r="AS88">
        <v>3.39E-2</v>
      </c>
      <c r="AT88">
        <v>178022</v>
      </c>
      <c r="AU88">
        <v>16.327000000000002</v>
      </c>
      <c r="AV88">
        <v>36115</v>
      </c>
      <c r="AW88">
        <v>3.3121999999999998</v>
      </c>
      <c r="AX88">
        <v>131736</v>
      </c>
      <c r="AY88">
        <v>5224</v>
      </c>
      <c r="AZ88">
        <v>54767288</v>
      </c>
      <c r="BA88">
        <v>3046.49</v>
      </c>
      <c r="BB88">
        <v>1</v>
      </c>
      <c r="BC88">
        <v>10</v>
      </c>
      <c r="BD88">
        <v>-1</v>
      </c>
      <c r="BE88">
        <v>-1</v>
      </c>
      <c r="BF88">
        <v>60</v>
      </c>
      <c r="BG88">
        <v>20</v>
      </c>
      <c r="BH88" s="2">
        <v>20</v>
      </c>
      <c r="BI88" t="b">
        <v>1</v>
      </c>
      <c r="BJ88">
        <v>3</v>
      </c>
      <c r="BK88">
        <v>0</v>
      </c>
      <c r="BM88" t="b">
        <v>1</v>
      </c>
      <c r="BN88" t="b">
        <v>0</v>
      </c>
      <c r="BO88">
        <v>1</v>
      </c>
      <c r="BP88" s="2">
        <v>-1</v>
      </c>
      <c r="BQ88" t="s">
        <v>189</v>
      </c>
      <c r="BR88">
        <v>244316</v>
      </c>
      <c r="BS88" t="b">
        <v>0</v>
      </c>
      <c r="BT88" t="b">
        <v>1</v>
      </c>
      <c r="BU88">
        <v>60</v>
      </c>
      <c r="BV88" t="s">
        <v>39</v>
      </c>
      <c r="BW88">
        <v>0</v>
      </c>
      <c r="BX88" t="s">
        <v>166</v>
      </c>
      <c r="BY88" t="b">
        <v>0</v>
      </c>
      <c r="BZ88" t="s">
        <v>216</v>
      </c>
      <c r="CA88" t="s">
        <v>213</v>
      </c>
      <c r="CB88" t="b">
        <v>1</v>
      </c>
    </row>
    <row r="89" spans="13:80" x14ac:dyDescent="0.2">
      <c r="M89" t="s">
        <v>40</v>
      </c>
      <c r="N89" s="1">
        <v>44175.661805555559</v>
      </c>
      <c r="O89">
        <v>9129601</v>
      </c>
      <c r="P89">
        <v>33649</v>
      </c>
      <c r="Q89">
        <v>3.6857000000000002</v>
      </c>
      <c r="R89">
        <v>17954</v>
      </c>
      <c r="S89">
        <v>1.9665999999999999</v>
      </c>
      <c r="T89">
        <v>360</v>
      </c>
      <c r="U89">
        <v>3.9399999999999998E-2</v>
      </c>
      <c r="V89">
        <v>503328</v>
      </c>
      <c r="W89">
        <v>55.131399999999999</v>
      </c>
      <c r="X89">
        <v>517286</v>
      </c>
      <c r="Y89">
        <v>56.660299999999999</v>
      </c>
      <c r="Z89">
        <v>120000</v>
      </c>
      <c r="AA89">
        <v>69</v>
      </c>
      <c r="AB89" s="2">
        <v>34626</v>
      </c>
      <c r="AC89" s="2">
        <v>3993</v>
      </c>
      <c r="AD89" s="2">
        <v>11327953</v>
      </c>
      <c r="AE89" s="2">
        <v>55714</v>
      </c>
      <c r="AF89" s="2">
        <v>4762</v>
      </c>
      <c r="AG89" s="2">
        <v>4253792</v>
      </c>
      <c r="AH89" s="2">
        <v>17624</v>
      </c>
      <c r="AI89" s="2">
        <v>6996</v>
      </c>
      <c r="AJ89" s="2">
        <v>21871436</v>
      </c>
      <c r="AK89">
        <v>0</v>
      </c>
      <c r="AL89" s="2">
        <v>0</v>
      </c>
      <c r="AM89">
        <v>0</v>
      </c>
      <c r="AN89">
        <v>0</v>
      </c>
      <c r="AO89">
        <v>694.76</v>
      </c>
      <c r="AP89">
        <v>10391.56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5</v>
      </c>
      <c r="BC89">
        <v>5</v>
      </c>
      <c r="BD89">
        <v>250</v>
      </c>
      <c r="BE89">
        <v>7920</v>
      </c>
      <c r="BF89">
        <v>60</v>
      </c>
      <c r="BG89">
        <v>20</v>
      </c>
      <c r="BH89" s="2">
        <v>20</v>
      </c>
      <c r="BI89" t="b">
        <v>1</v>
      </c>
      <c r="BJ89">
        <v>3</v>
      </c>
      <c r="BK89">
        <v>0</v>
      </c>
      <c r="BM89" t="b">
        <v>1</v>
      </c>
      <c r="BN89" t="b">
        <v>0</v>
      </c>
      <c r="BO89">
        <v>7</v>
      </c>
      <c r="BP89" s="2">
        <v>450000</v>
      </c>
      <c r="BQ89" t="s">
        <v>189</v>
      </c>
      <c r="BR89">
        <v>244316</v>
      </c>
      <c r="BS89" t="b">
        <v>0</v>
      </c>
      <c r="BT89" t="b">
        <v>0</v>
      </c>
      <c r="BU89">
        <v>60</v>
      </c>
      <c r="BV89" t="s">
        <v>39</v>
      </c>
      <c r="BW89">
        <v>0</v>
      </c>
      <c r="BX89" t="s">
        <v>190</v>
      </c>
      <c r="BY89" t="b">
        <v>0</v>
      </c>
      <c r="CA89" t="s">
        <v>165</v>
      </c>
      <c r="CB89" t="b">
        <v>0</v>
      </c>
    </row>
    <row r="90" spans="13:80" x14ac:dyDescent="0.2">
      <c r="M90" t="s">
        <v>40</v>
      </c>
      <c r="N90" s="1">
        <v>44175.641238425924</v>
      </c>
      <c r="O90">
        <v>10903471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120000</v>
      </c>
      <c r="AA90">
        <v>183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>
        <v>0</v>
      </c>
      <c r="AL90" s="2">
        <v>0</v>
      </c>
      <c r="AM90">
        <v>0</v>
      </c>
      <c r="AN90">
        <v>0</v>
      </c>
      <c r="AO90">
        <v>0</v>
      </c>
      <c r="AP90">
        <v>0</v>
      </c>
      <c r="AQ90">
        <v>100</v>
      </c>
      <c r="AR90">
        <v>514</v>
      </c>
      <c r="AS90">
        <v>4.7100000000000003E-2</v>
      </c>
      <c r="AT90">
        <v>173470</v>
      </c>
      <c r="AU90">
        <v>15.909599999999999</v>
      </c>
      <c r="AV90">
        <v>36061</v>
      </c>
      <c r="AW90">
        <v>3.3073000000000001</v>
      </c>
      <c r="AX90">
        <v>211700</v>
      </c>
      <c r="AY90">
        <v>3837</v>
      </c>
      <c r="AZ90">
        <v>59954339</v>
      </c>
      <c r="BA90">
        <v>3004.26</v>
      </c>
      <c r="BB90">
        <v>1</v>
      </c>
      <c r="BC90">
        <v>10</v>
      </c>
      <c r="BD90">
        <v>-1</v>
      </c>
      <c r="BE90">
        <v>-1</v>
      </c>
      <c r="BF90">
        <v>60</v>
      </c>
      <c r="BG90">
        <v>20</v>
      </c>
      <c r="BH90" s="2">
        <v>20</v>
      </c>
      <c r="BI90" t="b">
        <v>1</v>
      </c>
      <c r="BJ90">
        <v>3</v>
      </c>
      <c r="BK90">
        <v>0</v>
      </c>
      <c r="BM90" t="b">
        <v>1</v>
      </c>
      <c r="BN90" t="b">
        <v>0</v>
      </c>
      <c r="BO90">
        <v>1</v>
      </c>
      <c r="BP90" s="2">
        <v>-1</v>
      </c>
      <c r="BQ90" t="s">
        <v>189</v>
      </c>
      <c r="BR90">
        <v>244316</v>
      </c>
      <c r="BS90" t="b">
        <v>0</v>
      </c>
      <c r="BT90" t="b">
        <v>1</v>
      </c>
      <c r="BU90">
        <v>60</v>
      </c>
      <c r="BV90" t="s">
        <v>39</v>
      </c>
      <c r="BW90">
        <v>0</v>
      </c>
      <c r="BX90" t="s">
        <v>166</v>
      </c>
      <c r="BY90" t="b">
        <v>0</v>
      </c>
      <c r="BZ90" t="s">
        <v>216</v>
      </c>
      <c r="CA90" t="s">
        <v>213</v>
      </c>
      <c r="CB90" t="b">
        <v>1</v>
      </c>
    </row>
    <row r="91" spans="13:80" x14ac:dyDescent="0.2">
      <c r="M91" t="s">
        <v>40</v>
      </c>
      <c r="N91" s="1">
        <v>44175.661851851852</v>
      </c>
      <c r="O91">
        <v>9129601</v>
      </c>
      <c r="P91">
        <v>33688</v>
      </c>
      <c r="Q91">
        <v>3.69</v>
      </c>
      <c r="R91">
        <v>11818</v>
      </c>
      <c r="S91">
        <v>1.2945</v>
      </c>
      <c r="T91">
        <v>360</v>
      </c>
      <c r="U91">
        <v>3.9399999999999998E-2</v>
      </c>
      <c r="V91">
        <v>411405</v>
      </c>
      <c r="W91">
        <v>45.062800000000003</v>
      </c>
      <c r="X91">
        <v>644371</v>
      </c>
      <c r="Y91">
        <v>70.580399999999997</v>
      </c>
      <c r="Z91">
        <v>120000</v>
      </c>
      <c r="AA91">
        <v>22</v>
      </c>
      <c r="AB91" s="2">
        <v>25094</v>
      </c>
      <c r="AC91" s="2">
        <v>5321</v>
      </c>
      <c r="AD91" s="2">
        <v>12995810</v>
      </c>
      <c r="AE91" s="2">
        <v>63877</v>
      </c>
      <c r="AF91" s="2">
        <v>5980</v>
      </c>
      <c r="AG91" s="2">
        <v>4806435</v>
      </c>
      <c r="AH91" s="2">
        <v>14140</v>
      </c>
      <c r="AI91" s="2">
        <v>7662</v>
      </c>
      <c r="AJ91" s="2">
        <v>5195305</v>
      </c>
      <c r="AK91">
        <v>0</v>
      </c>
      <c r="AL91" s="2">
        <v>0</v>
      </c>
      <c r="AM91">
        <v>0</v>
      </c>
      <c r="AN91">
        <v>0</v>
      </c>
      <c r="AO91">
        <v>688.08</v>
      </c>
      <c r="AP91">
        <v>8403.19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5</v>
      </c>
      <c r="BC91">
        <v>5</v>
      </c>
      <c r="BD91">
        <v>250</v>
      </c>
      <c r="BE91">
        <v>7920</v>
      </c>
      <c r="BF91">
        <v>60</v>
      </c>
      <c r="BG91">
        <v>20</v>
      </c>
      <c r="BH91" s="2">
        <v>20</v>
      </c>
      <c r="BI91" t="b">
        <v>1</v>
      </c>
      <c r="BJ91">
        <v>3</v>
      </c>
      <c r="BK91">
        <v>0</v>
      </c>
      <c r="BM91" t="b">
        <v>1</v>
      </c>
      <c r="BN91" t="b">
        <v>0</v>
      </c>
      <c r="BO91">
        <v>7</v>
      </c>
      <c r="BP91" s="2">
        <v>450000</v>
      </c>
      <c r="BQ91" t="s">
        <v>189</v>
      </c>
      <c r="BR91">
        <v>244316</v>
      </c>
      <c r="BS91" t="b">
        <v>0</v>
      </c>
      <c r="BT91" t="b">
        <v>0</v>
      </c>
      <c r="BU91">
        <v>60</v>
      </c>
      <c r="BV91" t="s">
        <v>39</v>
      </c>
      <c r="BW91">
        <v>0</v>
      </c>
      <c r="BX91" t="s">
        <v>190</v>
      </c>
      <c r="BY91" t="b">
        <v>0</v>
      </c>
      <c r="CA91" t="s">
        <v>165</v>
      </c>
      <c r="CB91" t="b">
        <v>0</v>
      </c>
    </row>
    <row r="92" spans="13:80" x14ac:dyDescent="0.2">
      <c r="M92" t="s">
        <v>40</v>
      </c>
      <c r="N92" s="1">
        <v>44175.641250000001</v>
      </c>
      <c r="O92">
        <v>10903244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120000</v>
      </c>
      <c r="AA92">
        <v>129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>
        <v>0</v>
      </c>
      <c r="AL92" s="2">
        <v>0</v>
      </c>
      <c r="AM92">
        <v>0</v>
      </c>
      <c r="AN92">
        <v>0</v>
      </c>
      <c r="AO92">
        <v>0</v>
      </c>
      <c r="AP92">
        <v>0</v>
      </c>
      <c r="AQ92">
        <v>100</v>
      </c>
      <c r="AR92">
        <v>405</v>
      </c>
      <c r="AS92">
        <v>3.7100000000000001E-2</v>
      </c>
      <c r="AT92">
        <v>103968</v>
      </c>
      <c r="AU92">
        <v>9.5355000000000008</v>
      </c>
      <c r="AV92">
        <v>36105</v>
      </c>
      <c r="AW92">
        <v>3.3113999999999999</v>
      </c>
      <c r="AX92">
        <v>179388</v>
      </c>
      <c r="AY92">
        <v>5204</v>
      </c>
      <c r="AZ92">
        <v>56782903</v>
      </c>
      <c r="BA92">
        <v>1778.62</v>
      </c>
      <c r="BB92">
        <v>1</v>
      </c>
      <c r="BC92">
        <v>10</v>
      </c>
      <c r="BD92">
        <v>-1</v>
      </c>
      <c r="BE92">
        <v>-1</v>
      </c>
      <c r="BF92">
        <v>60</v>
      </c>
      <c r="BG92">
        <v>20</v>
      </c>
      <c r="BH92" s="2">
        <v>20</v>
      </c>
      <c r="BI92" t="b">
        <v>1</v>
      </c>
      <c r="BJ92">
        <v>3</v>
      </c>
      <c r="BK92">
        <v>0</v>
      </c>
      <c r="BM92" t="b">
        <v>1</v>
      </c>
      <c r="BN92" t="b">
        <v>0</v>
      </c>
      <c r="BO92">
        <v>1</v>
      </c>
      <c r="BP92" s="2">
        <v>-1</v>
      </c>
      <c r="BQ92" t="s">
        <v>189</v>
      </c>
      <c r="BR92">
        <v>244316</v>
      </c>
      <c r="BS92" t="b">
        <v>0</v>
      </c>
      <c r="BT92" t="b">
        <v>1</v>
      </c>
      <c r="BU92">
        <v>60</v>
      </c>
      <c r="BV92" t="s">
        <v>39</v>
      </c>
      <c r="BW92">
        <v>0</v>
      </c>
      <c r="BX92" t="s">
        <v>166</v>
      </c>
      <c r="BY92" t="b">
        <v>0</v>
      </c>
      <c r="BZ92" t="s">
        <v>216</v>
      </c>
      <c r="CA92" t="s">
        <v>213</v>
      </c>
      <c r="CB92" t="b">
        <v>1</v>
      </c>
    </row>
    <row r="93" spans="13:80" x14ac:dyDescent="0.2">
      <c r="M93" t="s">
        <v>40</v>
      </c>
      <c r="N93" s="1">
        <v>44175.661805555559</v>
      </c>
      <c r="O93">
        <v>9129603</v>
      </c>
      <c r="P93">
        <v>33620</v>
      </c>
      <c r="Q93">
        <v>3.6825000000000001</v>
      </c>
      <c r="R93">
        <v>17934</v>
      </c>
      <c r="S93">
        <v>1.9643999999999999</v>
      </c>
      <c r="T93">
        <v>360</v>
      </c>
      <c r="U93">
        <v>3.9399999999999998E-2</v>
      </c>
      <c r="V93">
        <v>429523</v>
      </c>
      <c r="W93">
        <v>47.0473</v>
      </c>
      <c r="X93">
        <v>442254</v>
      </c>
      <c r="Y93">
        <v>48.441800000000001</v>
      </c>
      <c r="Z93">
        <v>120000</v>
      </c>
      <c r="AA93">
        <v>100</v>
      </c>
      <c r="AB93" s="2">
        <v>33298</v>
      </c>
      <c r="AC93" s="2">
        <v>3839</v>
      </c>
      <c r="AD93" s="2">
        <v>11960268</v>
      </c>
      <c r="AE93" s="2">
        <v>72951</v>
      </c>
      <c r="AF93" s="2">
        <v>4828</v>
      </c>
      <c r="AG93" s="2">
        <v>4321767</v>
      </c>
      <c r="AH93" s="2">
        <v>20597</v>
      </c>
      <c r="AI93" s="2">
        <v>9671</v>
      </c>
      <c r="AJ93" s="2">
        <v>3910008</v>
      </c>
      <c r="AK93">
        <v>0</v>
      </c>
      <c r="AL93" s="2">
        <v>0</v>
      </c>
      <c r="AM93">
        <v>0</v>
      </c>
      <c r="AN93">
        <v>0</v>
      </c>
      <c r="AO93">
        <v>686.92</v>
      </c>
      <c r="AP93">
        <v>8773.6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</v>
      </c>
      <c r="BC93">
        <v>5</v>
      </c>
      <c r="BD93">
        <v>250</v>
      </c>
      <c r="BE93">
        <v>7920</v>
      </c>
      <c r="BF93">
        <v>60</v>
      </c>
      <c r="BG93">
        <v>20</v>
      </c>
      <c r="BH93" s="2">
        <v>20</v>
      </c>
      <c r="BI93" t="b">
        <v>1</v>
      </c>
      <c r="BJ93">
        <v>3</v>
      </c>
      <c r="BK93">
        <v>0</v>
      </c>
      <c r="BM93" t="b">
        <v>1</v>
      </c>
      <c r="BN93" t="b">
        <v>0</v>
      </c>
      <c r="BO93">
        <v>7</v>
      </c>
      <c r="BP93" s="2">
        <v>450000</v>
      </c>
      <c r="BQ93" t="s">
        <v>189</v>
      </c>
      <c r="BR93">
        <v>244316</v>
      </c>
      <c r="BS93" t="b">
        <v>0</v>
      </c>
      <c r="BT93" t="b">
        <v>0</v>
      </c>
      <c r="BU93">
        <v>60</v>
      </c>
      <c r="BV93" t="s">
        <v>39</v>
      </c>
      <c r="BW93">
        <v>0</v>
      </c>
      <c r="BX93" t="s">
        <v>190</v>
      </c>
      <c r="BY93" t="b">
        <v>0</v>
      </c>
      <c r="CA93" t="s">
        <v>165</v>
      </c>
      <c r="CB93" t="b">
        <v>0</v>
      </c>
    </row>
    <row r="94" spans="13:80" x14ac:dyDescent="0.2">
      <c r="M94" t="s">
        <v>40</v>
      </c>
      <c r="N94" s="1">
        <v>44175.641250000001</v>
      </c>
      <c r="O94">
        <v>10902838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120000</v>
      </c>
      <c r="AA94">
        <v>105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>
        <v>0</v>
      </c>
      <c r="AL94" s="2">
        <v>0</v>
      </c>
      <c r="AM94">
        <v>0</v>
      </c>
      <c r="AN94">
        <v>0</v>
      </c>
      <c r="AO94">
        <v>0</v>
      </c>
      <c r="AP94">
        <v>0</v>
      </c>
      <c r="AQ94">
        <v>100</v>
      </c>
      <c r="AR94">
        <v>495</v>
      </c>
      <c r="AS94">
        <v>4.5400000000000003E-2</v>
      </c>
      <c r="AT94">
        <v>174885</v>
      </c>
      <c r="AU94">
        <v>16.040299999999998</v>
      </c>
      <c r="AV94">
        <v>36135</v>
      </c>
      <c r="AW94">
        <v>3.3142999999999998</v>
      </c>
      <c r="AX94">
        <v>157019</v>
      </c>
      <c r="AY94">
        <v>3571</v>
      </c>
      <c r="AZ94">
        <v>58103973</v>
      </c>
      <c r="BA94">
        <v>2992.39</v>
      </c>
      <c r="BB94">
        <v>1</v>
      </c>
      <c r="BC94">
        <v>10</v>
      </c>
      <c r="BD94">
        <v>-1</v>
      </c>
      <c r="BE94">
        <v>-1</v>
      </c>
      <c r="BF94">
        <v>60</v>
      </c>
      <c r="BG94">
        <v>20</v>
      </c>
      <c r="BH94" s="2">
        <v>20</v>
      </c>
      <c r="BI94" t="b">
        <v>1</v>
      </c>
      <c r="BJ94">
        <v>3</v>
      </c>
      <c r="BK94">
        <v>0</v>
      </c>
      <c r="BM94" t="b">
        <v>1</v>
      </c>
      <c r="BN94" t="b">
        <v>0</v>
      </c>
      <c r="BO94">
        <v>1</v>
      </c>
      <c r="BP94" s="2">
        <v>-1</v>
      </c>
      <c r="BQ94" t="s">
        <v>189</v>
      </c>
      <c r="BR94">
        <v>244316</v>
      </c>
      <c r="BS94" t="b">
        <v>0</v>
      </c>
      <c r="BT94" t="b">
        <v>1</v>
      </c>
      <c r="BU94">
        <v>60</v>
      </c>
      <c r="BV94" t="s">
        <v>39</v>
      </c>
      <c r="BW94">
        <v>0</v>
      </c>
      <c r="BX94" t="s">
        <v>166</v>
      </c>
      <c r="BY94" t="b">
        <v>0</v>
      </c>
      <c r="BZ94" t="s">
        <v>216</v>
      </c>
      <c r="CA94" t="s">
        <v>213</v>
      </c>
      <c r="CB94" t="b">
        <v>1</v>
      </c>
    </row>
    <row r="95" spans="13:80" x14ac:dyDescent="0.2">
      <c r="M95" t="s">
        <v>40</v>
      </c>
      <c r="N95" s="1">
        <v>44175.661851851852</v>
      </c>
      <c r="O95">
        <v>9129601</v>
      </c>
      <c r="P95">
        <v>33183</v>
      </c>
      <c r="Q95">
        <v>3.6347</v>
      </c>
      <c r="R95">
        <v>10227</v>
      </c>
      <c r="S95">
        <v>1.1202000000000001</v>
      </c>
      <c r="T95">
        <v>360</v>
      </c>
      <c r="U95">
        <v>3.9399999999999998E-2</v>
      </c>
      <c r="V95">
        <v>482312</v>
      </c>
      <c r="W95">
        <v>52.829500000000003</v>
      </c>
      <c r="X95">
        <v>896768</v>
      </c>
      <c r="Y95">
        <v>98.226399999999998</v>
      </c>
      <c r="Z95">
        <v>120000</v>
      </c>
      <c r="AA95">
        <v>63</v>
      </c>
      <c r="AB95" s="2">
        <v>47591</v>
      </c>
      <c r="AC95" s="2">
        <v>5325</v>
      </c>
      <c r="AD95" s="2">
        <v>12796480</v>
      </c>
      <c r="AE95" s="2">
        <v>73057</v>
      </c>
      <c r="AF95" s="2">
        <v>6044</v>
      </c>
      <c r="AG95" s="2">
        <v>4992184</v>
      </c>
      <c r="AH95" s="2">
        <v>10143</v>
      </c>
      <c r="AI95" s="2">
        <v>6194</v>
      </c>
      <c r="AJ95" s="2">
        <v>4711723</v>
      </c>
      <c r="AK95">
        <v>0</v>
      </c>
      <c r="AL95" s="2">
        <v>0</v>
      </c>
      <c r="AM95">
        <v>0</v>
      </c>
      <c r="AN95">
        <v>0</v>
      </c>
      <c r="AO95">
        <v>685.21</v>
      </c>
      <c r="AP95">
        <v>9956.42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5</v>
      </c>
      <c r="BC95">
        <v>5</v>
      </c>
      <c r="BD95">
        <v>250</v>
      </c>
      <c r="BE95">
        <v>7920</v>
      </c>
      <c r="BF95">
        <v>60</v>
      </c>
      <c r="BG95">
        <v>20</v>
      </c>
      <c r="BH95" s="2">
        <v>20</v>
      </c>
      <c r="BI95" t="b">
        <v>1</v>
      </c>
      <c r="BJ95">
        <v>3</v>
      </c>
      <c r="BK95">
        <v>0</v>
      </c>
      <c r="BM95" t="b">
        <v>1</v>
      </c>
      <c r="BN95" t="b">
        <v>0</v>
      </c>
      <c r="BO95">
        <v>7</v>
      </c>
      <c r="BP95" s="2">
        <v>450000</v>
      </c>
      <c r="BQ95" t="s">
        <v>189</v>
      </c>
      <c r="BR95">
        <v>244316</v>
      </c>
      <c r="BS95" t="b">
        <v>0</v>
      </c>
      <c r="BT95" t="b">
        <v>0</v>
      </c>
      <c r="BU95">
        <v>60</v>
      </c>
      <c r="BV95" t="s">
        <v>39</v>
      </c>
      <c r="BW95">
        <v>0</v>
      </c>
      <c r="BX95" t="s">
        <v>190</v>
      </c>
      <c r="BY95" t="b">
        <v>0</v>
      </c>
      <c r="CA95" t="s">
        <v>165</v>
      </c>
      <c r="CB95" t="b">
        <v>0</v>
      </c>
    </row>
    <row r="96" spans="13:80" x14ac:dyDescent="0.2">
      <c r="M96" t="s">
        <v>40</v>
      </c>
      <c r="N96" s="1">
        <v>44175.641238425924</v>
      </c>
      <c r="O96">
        <v>10903444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120000</v>
      </c>
      <c r="AA96">
        <v>104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>
        <v>0</v>
      </c>
      <c r="AL96" s="2">
        <v>0</v>
      </c>
      <c r="AM96">
        <v>0</v>
      </c>
      <c r="AN96">
        <v>0</v>
      </c>
      <c r="AO96">
        <v>0</v>
      </c>
      <c r="AP96">
        <v>0</v>
      </c>
      <c r="AQ96">
        <v>100</v>
      </c>
      <c r="AR96">
        <v>380</v>
      </c>
      <c r="AS96">
        <v>3.49E-2</v>
      </c>
      <c r="AT96">
        <v>82889</v>
      </c>
      <c r="AU96">
        <v>7.6021000000000001</v>
      </c>
      <c r="AV96">
        <v>36142</v>
      </c>
      <c r="AW96">
        <v>3.3147000000000002</v>
      </c>
      <c r="AX96">
        <v>167183</v>
      </c>
      <c r="AY96">
        <v>4827</v>
      </c>
      <c r="AZ96">
        <v>57987670</v>
      </c>
      <c r="BA96">
        <v>1431.32</v>
      </c>
      <c r="BB96">
        <v>1</v>
      </c>
      <c r="BC96">
        <v>10</v>
      </c>
      <c r="BD96">
        <v>-1</v>
      </c>
      <c r="BE96">
        <v>-1</v>
      </c>
      <c r="BF96">
        <v>60</v>
      </c>
      <c r="BG96">
        <v>20</v>
      </c>
      <c r="BH96" s="2">
        <v>20</v>
      </c>
      <c r="BI96" t="b">
        <v>1</v>
      </c>
      <c r="BJ96">
        <v>3</v>
      </c>
      <c r="BK96">
        <v>0</v>
      </c>
      <c r="BM96" t="b">
        <v>1</v>
      </c>
      <c r="BN96" t="b">
        <v>0</v>
      </c>
      <c r="BO96">
        <v>1</v>
      </c>
      <c r="BP96" s="2">
        <v>-1</v>
      </c>
      <c r="BQ96" t="s">
        <v>189</v>
      </c>
      <c r="BR96">
        <v>244316</v>
      </c>
      <c r="BS96" t="b">
        <v>0</v>
      </c>
      <c r="BT96" t="b">
        <v>1</v>
      </c>
      <c r="BU96">
        <v>60</v>
      </c>
      <c r="BV96" t="s">
        <v>39</v>
      </c>
      <c r="BW96">
        <v>0</v>
      </c>
      <c r="BX96" t="s">
        <v>166</v>
      </c>
      <c r="BY96" t="b">
        <v>0</v>
      </c>
      <c r="BZ96" t="s">
        <v>216</v>
      </c>
      <c r="CA96" t="s">
        <v>213</v>
      </c>
      <c r="CB96" t="b">
        <v>1</v>
      </c>
    </row>
    <row r="97" spans="13:80" x14ac:dyDescent="0.2">
      <c r="M97" t="s">
        <v>40</v>
      </c>
      <c r="N97" s="1">
        <v>44175.661863425928</v>
      </c>
      <c r="O97">
        <v>9129601</v>
      </c>
      <c r="P97">
        <v>33212</v>
      </c>
      <c r="Q97">
        <v>3.6377999999999999</v>
      </c>
      <c r="R97">
        <v>17938</v>
      </c>
      <c r="S97">
        <v>1.9648000000000001</v>
      </c>
      <c r="T97">
        <v>360</v>
      </c>
      <c r="U97">
        <v>3.9399999999999998E-2</v>
      </c>
      <c r="V97">
        <v>501090</v>
      </c>
      <c r="W97">
        <v>54.886299999999999</v>
      </c>
      <c r="X97">
        <v>517663</v>
      </c>
      <c r="Y97">
        <v>56.701599999999999</v>
      </c>
      <c r="Z97">
        <v>120000</v>
      </c>
      <c r="AA97">
        <v>20</v>
      </c>
      <c r="AB97" s="2">
        <v>48174</v>
      </c>
      <c r="AC97" s="2">
        <v>5527</v>
      </c>
      <c r="AD97" s="2">
        <v>16036945</v>
      </c>
      <c r="AE97" s="2">
        <v>39530</v>
      </c>
      <c r="AF97" s="2">
        <v>6380</v>
      </c>
      <c r="AG97" s="2">
        <v>3871100</v>
      </c>
      <c r="AH97" s="2">
        <v>17599</v>
      </c>
      <c r="AI97" s="2">
        <v>7541</v>
      </c>
      <c r="AJ97" s="2">
        <v>21872328</v>
      </c>
      <c r="AK97">
        <v>0</v>
      </c>
      <c r="AL97" s="2">
        <v>0</v>
      </c>
      <c r="AM97">
        <v>0</v>
      </c>
      <c r="AN97">
        <v>0</v>
      </c>
      <c r="AO97">
        <v>681.97</v>
      </c>
      <c r="AP97">
        <v>10289.75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5</v>
      </c>
      <c r="BC97">
        <v>5</v>
      </c>
      <c r="BD97">
        <v>250</v>
      </c>
      <c r="BE97">
        <v>7920</v>
      </c>
      <c r="BF97">
        <v>60</v>
      </c>
      <c r="BG97">
        <v>20</v>
      </c>
      <c r="BH97" s="2">
        <v>20</v>
      </c>
      <c r="BI97" t="b">
        <v>1</v>
      </c>
      <c r="BJ97">
        <v>3</v>
      </c>
      <c r="BK97">
        <v>0</v>
      </c>
      <c r="BM97" t="b">
        <v>1</v>
      </c>
      <c r="BN97" t="b">
        <v>0</v>
      </c>
      <c r="BO97">
        <v>7</v>
      </c>
      <c r="BP97" s="2">
        <v>450000</v>
      </c>
      <c r="BQ97" t="s">
        <v>189</v>
      </c>
      <c r="BR97">
        <v>244316</v>
      </c>
      <c r="BS97" t="b">
        <v>0</v>
      </c>
      <c r="BT97" t="b">
        <v>0</v>
      </c>
      <c r="BU97">
        <v>60</v>
      </c>
      <c r="BV97" t="s">
        <v>39</v>
      </c>
      <c r="BW97">
        <v>0</v>
      </c>
      <c r="BX97" t="s">
        <v>190</v>
      </c>
      <c r="BY97" t="b">
        <v>0</v>
      </c>
      <c r="CA97" t="s">
        <v>165</v>
      </c>
      <c r="CB97" t="b">
        <v>0</v>
      </c>
    </row>
    <row r="98" spans="13:80" x14ac:dyDescent="0.2">
      <c r="M98" t="s">
        <v>40</v>
      </c>
      <c r="N98" s="1">
        <v>44175.641238425924</v>
      </c>
      <c r="O98">
        <v>10903441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120000</v>
      </c>
      <c r="AA98">
        <v>156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>
        <v>0</v>
      </c>
      <c r="AL98" s="2">
        <v>0</v>
      </c>
      <c r="AM98">
        <v>0</v>
      </c>
      <c r="AN98">
        <v>0</v>
      </c>
      <c r="AO98">
        <v>0</v>
      </c>
      <c r="AP98">
        <v>0</v>
      </c>
      <c r="AQ98">
        <v>100</v>
      </c>
      <c r="AR98">
        <v>445</v>
      </c>
      <c r="AS98">
        <v>4.0800000000000003E-2</v>
      </c>
      <c r="AT98">
        <v>173303</v>
      </c>
      <c r="AU98">
        <v>15.894299999999999</v>
      </c>
      <c r="AV98">
        <v>36095</v>
      </c>
      <c r="AW98">
        <v>3.3104</v>
      </c>
      <c r="AX98">
        <v>157064</v>
      </c>
      <c r="AY98">
        <v>5710</v>
      </c>
      <c r="AZ98">
        <v>59896060</v>
      </c>
      <c r="BA98">
        <v>2980.4</v>
      </c>
      <c r="BB98">
        <v>1</v>
      </c>
      <c r="BC98">
        <v>10</v>
      </c>
      <c r="BD98">
        <v>-1</v>
      </c>
      <c r="BE98">
        <v>-1</v>
      </c>
      <c r="BF98">
        <v>60</v>
      </c>
      <c r="BG98">
        <v>20</v>
      </c>
      <c r="BH98" s="2">
        <v>20</v>
      </c>
      <c r="BI98" t="b">
        <v>1</v>
      </c>
      <c r="BJ98">
        <v>3</v>
      </c>
      <c r="BK98">
        <v>0</v>
      </c>
      <c r="BM98" t="b">
        <v>1</v>
      </c>
      <c r="BN98" t="b">
        <v>0</v>
      </c>
      <c r="BO98">
        <v>1</v>
      </c>
      <c r="BP98" s="2">
        <v>-1</v>
      </c>
      <c r="BQ98" t="s">
        <v>189</v>
      </c>
      <c r="BR98">
        <v>244316</v>
      </c>
      <c r="BS98" t="b">
        <v>0</v>
      </c>
      <c r="BT98" t="b">
        <v>1</v>
      </c>
      <c r="BU98">
        <v>60</v>
      </c>
      <c r="BV98" t="s">
        <v>39</v>
      </c>
      <c r="BW98">
        <v>0</v>
      </c>
      <c r="BX98" t="s">
        <v>166</v>
      </c>
      <c r="BY98" t="b">
        <v>0</v>
      </c>
      <c r="BZ98" t="s">
        <v>216</v>
      </c>
      <c r="CA98" t="s">
        <v>213</v>
      </c>
      <c r="CB98" t="b">
        <v>1</v>
      </c>
    </row>
    <row r="99" spans="13:80" x14ac:dyDescent="0.2">
      <c r="M99" t="s">
        <v>40</v>
      </c>
      <c r="N99" s="1">
        <v>44175.661805555559</v>
      </c>
      <c r="O99">
        <v>9129603</v>
      </c>
      <c r="P99">
        <v>33670</v>
      </c>
      <c r="Q99">
        <v>3.6880000000000002</v>
      </c>
      <c r="R99">
        <v>10832</v>
      </c>
      <c r="S99">
        <v>1.1865000000000001</v>
      </c>
      <c r="T99">
        <v>360</v>
      </c>
      <c r="U99">
        <v>3.9399999999999998E-2</v>
      </c>
      <c r="V99">
        <v>389490</v>
      </c>
      <c r="W99">
        <v>42.662300000000002</v>
      </c>
      <c r="X99">
        <v>681062</v>
      </c>
      <c r="Y99">
        <v>74.599299999999999</v>
      </c>
      <c r="Z99">
        <v>120000</v>
      </c>
      <c r="AA99">
        <v>28</v>
      </c>
      <c r="AB99" s="2">
        <v>38514</v>
      </c>
      <c r="AC99" s="2">
        <v>5804</v>
      </c>
      <c r="AD99" s="2">
        <v>11712477</v>
      </c>
      <c r="AE99" s="2">
        <v>37569</v>
      </c>
      <c r="AF99" s="2">
        <v>6378</v>
      </c>
      <c r="AG99" s="2">
        <v>3112613</v>
      </c>
      <c r="AH99" s="2">
        <v>13338</v>
      </c>
      <c r="AI99" s="2">
        <v>5036</v>
      </c>
      <c r="AJ99" s="2">
        <v>24449673</v>
      </c>
      <c r="AK99">
        <v>0</v>
      </c>
      <c r="AL99" s="2">
        <v>0</v>
      </c>
      <c r="AM99">
        <v>0</v>
      </c>
      <c r="AN99">
        <v>0</v>
      </c>
      <c r="AO99">
        <v>687.89</v>
      </c>
      <c r="AP99">
        <v>7954.92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5</v>
      </c>
      <c r="BC99">
        <v>5</v>
      </c>
      <c r="BD99">
        <v>250</v>
      </c>
      <c r="BE99">
        <v>7920</v>
      </c>
      <c r="BF99">
        <v>60</v>
      </c>
      <c r="BG99">
        <v>20</v>
      </c>
      <c r="BH99" s="2">
        <v>20</v>
      </c>
      <c r="BI99" t="b">
        <v>1</v>
      </c>
      <c r="BJ99">
        <v>3</v>
      </c>
      <c r="BK99">
        <v>0</v>
      </c>
      <c r="BM99" t="b">
        <v>1</v>
      </c>
      <c r="BN99" t="b">
        <v>0</v>
      </c>
      <c r="BO99">
        <v>7</v>
      </c>
      <c r="BP99" s="2">
        <v>450000</v>
      </c>
      <c r="BQ99" t="s">
        <v>189</v>
      </c>
      <c r="BR99">
        <v>244316</v>
      </c>
      <c r="BS99" t="b">
        <v>0</v>
      </c>
      <c r="BT99" t="b">
        <v>0</v>
      </c>
      <c r="BU99">
        <v>60</v>
      </c>
      <c r="BV99" t="s">
        <v>39</v>
      </c>
      <c r="BW99">
        <v>0</v>
      </c>
      <c r="BX99" t="s">
        <v>190</v>
      </c>
      <c r="BY99" t="b">
        <v>0</v>
      </c>
      <c r="CA99" t="s">
        <v>165</v>
      </c>
      <c r="CB99" t="b">
        <v>0</v>
      </c>
    </row>
    <row r="100" spans="13:80" x14ac:dyDescent="0.2">
      <c r="M100" t="s">
        <v>40</v>
      </c>
      <c r="N100" s="1">
        <v>44175.641250000001</v>
      </c>
      <c r="O100">
        <v>10903316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120000</v>
      </c>
      <c r="AA100">
        <v>82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>
        <v>0</v>
      </c>
      <c r="AL100" s="2">
        <v>0</v>
      </c>
      <c r="AM100">
        <v>0</v>
      </c>
      <c r="AN100">
        <v>0</v>
      </c>
      <c r="AO100">
        <v>0</v>
      </c>
      <c r="AP100">
        <v>0</v>
      </c>
      <c r="AQ100">
        <v>100</v>
      </c>
      <c r="AR100">
        <v>432</v>
      </c>
      <c r="AS100">
        <v>3.9600000000000003E-2</v>
      </c>
      <c r="AT100">
        <v>100832</v>
      </c>
      <c r="AU100">
        <v>9.2477999999999998</v>
      </c>
      <c r="AV100">
        <v>36161</v>
      </c>
      <c r="AW100">
        <v>3.3165</v>
      </c>
      <c r="AX100">
        <v>216642</v>
      </c>
      <c r="AY100">
        <v>5221</v>
      </c>
      <c r="AZ100">
        <v>56837401</v>
      </c>
      <c r="BA100">
        <v>1720.92</v>
      </c>
      <c r="BB100">
        <v>1</v>
      </c>
      <c r="BC100">
        <v>10</v>
      </c>
      <c r="BD100">
        <v>-1</v>
      </c>
      <c r="BE100">
        <v>-1</v>
      </c>
      <c r="BF100">
        <v>60</v>
      </c>
      <c r="BG100">
        <v>20</v>
      </c>
      <c r="BH100" s="2">
        <v>20</v>
      </c>
      <c r="BI100" t="b">
        <v>1</v>
      </c>
      <c r="BJ100">
        <v>3</v>
      </c>
      <c r="BK100">
        <v>0</v>
      </c>
      <c r="BM100" t="b">
        <v>1</v>
      </c>
      <c r="BN100" t="b">
        <v>0</v>
      </c>
      <c r="BO100">
        <v>1</v>
      </c>
      <c r="BP100" s="2">
        <v>-1</v>
      </c>
      <c r="BQ100" t="s">
        <v>189</v>
      </c>
      <c r="BR100">
        <v>244316</v>
      </c>
      <c r="BS100" t="b">
        <v>0</v>
      </c>
      <c r="BT100" t="b">
        <v>1</v>
      </c>
      <c r="BU100">
        <v>60</v>
      </c>
      <c r="BV100" t="s">
        <v>39</v>
      </c>
      <c r="BW100">
        <v>0</v>
      </c>
      <c r="BX100" t="s">
        <v>166</v>
      </c>
      <c r="BY100" t="b">
        <v>0</v>
      </c>
      <c r="BZ100" t="s">
        <v>216</v>
      </c>
      <c r="CA100" t="s">
        <v>213</v>
      </c>
      <c r="CB100" t="b">
        <v>1</v>
      </c>
    </row>
    <row r="101" spans="13:80" x14ac:dyDescent="0.2">
      <c r="M101" t="s">
        <v>40</v>
      </c>
      <c r="N101" s="1">
        <v>44175.661805555559</v>
      </c>
      <c r="O101">
        <v>9129601</v>
      </c>
      <c r="P101">
        <v>33647</v>
      </c>
      <c r="Q101">
        <v>3.6855000000000002</v>
      </c>
      <c r="R101">
        <v>17885</v>
      </c>
      <c r="S101">
        <v>1.9590000000000001</v>
      </c>
      <c r="T101">
        <v>360</v>
      </c>
      <c r="U101">
        <v>3.9399999999999998E-2</v>
      </c>
      <c r="V101">
        <v>592370</v>
      </c>
      <c r="W101">
        <v>64.884500000000003</v>
      </c>
      <c r="X101">
        <v>610873</v>
      </c>
      <c r="Y101">
        <v>66.911199999999994</v>
      </c>
      <c r="Z101">
        <v>120000</v>
      </c>
      <c r="AA101">
        <v>73</v>
      </c>
      <c r="AB101" s="2">
        <v>29370</v>
      </c>
      <c r="AC101" s="2">
        <v>5343</v>
      </c>
      <c r="AD101" s="2">
        <v>11809689</v>
      </c>
      <c r="AE101" s="2">
        <v>34877</v>
      </c>
      <c r="AF101" s="2">
        <v>6112</v>
      </c>
      <c r="AG101" s="2">
        <v>2904157</v>
      </c>
      <c r="AH101" s="2">
        <v>14921</v>
      </c>
      <c r="AI101" s="2">
        <v>7234</v>
      </c>
      <c r="AJ101" s="2">
        <v>5707607</v>
      </c>
      <c r="AK101">
        <v>0</v>
      </c>
      <c r="AL101" s="2">
        <v>0</v>
      </c>
      <c r="AM101">
        <v>0</v>
      </c>
      <c r="AN101">
        <v>0</v>
      </c>
      <c r="AO101">
        <v>694.59</v>
      </c>
      <c r="AP101">
        <v>12230.36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5</v>
      </c>
      <c r="BC101">
        <v>5</v>
      </c>
      <c r="BD101">
        <v>250</v>
      </c>
      <c r="BE101">
        <v>7920</v>
      </c>
      <c r="BF101">
        <v>60</v>
      </c>
      <c r="BG101">
        <v>20</v>
      </c>
      <c r="BH101" s="2">
        <v>20</v>
      </c>
      <c r="BI101" t="b">
        <v>1</v>
      </c>
      <c r="BJ101">
        <v>3</v>
      </c>
      <c r="BK101">
        <v>0</v>
      </c>
      <c r="BM101" t="b">
        <v>1</v>
      </c>
      <c r="BN101" t="b">
        <v>0</v>
      </c>
      <c r="BO101">
        <v>7</v>
      </c>
      <c r="BP101" s="2">
        <v>450000</v>
      </c>
      <c r="BQ101" t="s">
        <v>189</v>
      </c>
      <c r="BR101">
        <v>244316</v>
      </c>
      <c r="BS101" t="b">
        <v>0</v>
      </c>
      <c r="BT101" t="b">
        <v>0</v>
      </c>
      <c r="BU101">
        <v>60</v>
      </c>
      <c r="BV101" t="s">
        <v>39</v>
      </c>
      <c r="BW101">
        <v>0</v>
      </c>
      <c r="BX101" t="s">
        <v>190</v>
      </c>
      <c r="BY101" t="b">
        <v>0</v>
      </c>
      <c r="CA101" t="s">
        <v>165</v>
      </c>
      <c r="CB101" t="b">
        <v>0</v>
      </c>
    </row>
    <row r="102" spans="13:80" x14ac:dyDescent="0.2">
      <c r="M102" t="s">
        <v>40</v>
      </c>
      <c r="N102" s="1">
        <v>44175.641238425924</v>
      </c>
      <c r="O102">
        <v>10903673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120000</v>
      </c>
      <c r="AA102">
        <v>81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>
        <v>0</v>
      </c>
      <c r="AL102" s="2">
        <v>0</v>
      </c>
      <c r="AM102">
        <v>0</v>
      </c>
      <c r="AN102">
        <v>0</v>
      </c>
      <c r="AO102">
        <v>0</v>
      </c>
      <c r="AP102">
        <v>0</v>
      </c>
      <c r="AQ102">
        <v>100</v>
      </c>
      <c r="AR102">
        <v>492</v>
      </c>
      <c r="AS102">
        <v>4.5100000000000001E-2</v>
      </c>
      <c r="AT102">
        <v>175968</v>
      </c>
      <c r="AU102">
        <v>16.138400000000001</v>
      </c>
      <c r="AV102">
        <v>36163</v>
      </c>
      <c r="AW102">
        <v>3.3166000000000002</v>
      </c>
      <c r="AX102">
        <v>191444</v>
      </c>
      <c r="AY102">
        <v>5271</v>
      </c>
      <c r="AZ102">
        <v>58216716</v>
      </c>
      <c r="BA102">
        <v>3046.57</v>
      </c>
      <c r="BB102">
        <v>1</v>
      </c>
      <c r="BC102">
        <v>10</v>
      </c>
      <c r="BD102">
        <v>-1</v>
      </c>
      <c r="BE102">
        <v>-1</v>
      </c>
      <c r="BF102">
        <v>60</v>
      </c>
      <c r="BG102">
        <v>20</v>
      </c>
      <c r="BH102" s="2">
        <v>20</v>
      </c>
      <c r="BI102" t="b">
        <v>1</v>
      </c>
      <c r="BJ102">
        <v>3</v>
      </c>
      <c r="BK102">
        <v>0</v>
      </c>
      <c r="BM102" t="b">
        <v>1</v>
      </c>
      <c r="BN102" t="b">
        <v>0</v>
      </c>
      <c r="BO102">
        <v>1</v>
      </c>
      <c r="BP102" s="2">
        <v>-1</v>
      </c>
      <c r="BQ102" t="s">
        <v>189</v>
      </c>
      <c r="BR102">
        <v>244316</v>
      </c>
      <c r="BS102" t="b">
        <v>0</v>
      </c>
      <c r="BT102" t="b">
        <v>1</v>
      </c>
      <c r="BU102">
        <v>60</v>
      </c>
      <c r="BV102" t="s">
        <v>39</v>
      </c>
      <c r="BW102">
        <v>0</v>
      </c>
      <c r="BX102" t="s">
        <v>166</v>
      </c>
      <c r="BY102" t="b">
        <v>0</v>
      </c>
      <c r="BZ102" t="s">
        <v>216</v>
      </c>
      <c r="CA102" t="s">
        <v>213</v>
      </c>
      <c r="CB102" t="b">
        <v>1</v>
      </c>
    </row>
    <row r="103" spans="13:80" x14ac:dyDescent="0.2">
      <c r="M103" t="s">
        <v>40</v>
      </c>
      <c r="N103" s="1">
        <v>44175.661805555559</v>
      </c>
      <c r="O103">
        <v>9129605</v>
      </c>
      <c r="P103">
        <v>33634</v>
      </c>
      <c r="Q103">
        <v>3.6840999999999999</v>
      </c>
      <c r="R103">
        <v>12520</v>
      </c>
      <c r="S103">
        <v>1.3714</v>
      </c>
      <c r="T103">
        <v>360</v>
      </c>
      <c r="U103">
        <v>3.9399999999999998E-2</v>
      </c>
      <c r="V103">
        <v>422521</v>
      </c>
      <c r="W103">
        <v>46.280299999999997</v>
      </c>
      <c r="X103">
        <v>607242</v>
      </c>
      <c r="Y103">
        <v>66.513499999999993</v>
      </c>
      <c r="Z103">
        <v>120000</v>
      </c>
      <c r="AA103">
        <v>59</v>
      </c>
      <c r="AB103" s="2">
        <v>37988</v>
      </c>
      <c r="AC103" s="2">
        <v>5703</v>
      </c>
      <c r="AD103" s="2">
        <v>11891755</v>
      </c>
      <c r="AE103" s="2">
        <v>40337</v>
      </c>
      <c r="AF103" s="2">
        <v>6638</v>
      </c>
      <c r="AG103" s="2">
        <v>2221107</v>
      </c>
      <c r="AH103" s="2">
        <v>14985</v>
      </c>
      <c r="AI103" s="2">
        <v>7674</v>
      </c>
      <c r="AJ103" s="2">
        <v>3906273</v>
      </c>
      <c r="AK103">
        <v>0</v>
      </c>
      <c r="AL103" s="2">
        <v>0</v>
      </c>
      <c r="AM103">
        <v>0</v>
      </c>
      <c r="AN103">
        <v>0</v>
      </c>
      <c r="AO103">
        <v>690.54</v>
      </c>
      <c r="AP103">
        <v>8678.7199999999993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5</v>
      </c>
      <c r="BC103">
        <v>5</v>
      </c>
      <c r="BD103">
        <v>250</v>
      </c>
      <c r="BE103">
        <v>7920</v>
      </c>
      <c r="BF103">
        <v>60</v>
      </c>
      <c r="BG103">
        <v>20</v>
      </c>
      <c r="BH103" s="2">
        <v>20</v>
      </c>
      <c r="BI103" t="b">
        <v>1</v>
      </c>
      <c r="BJ103">
        <v>3</v>
      </c>
      <c r="BK103">
        <v>0</v>
      </c>
      <c r="BM103" t="b">
        <v>1</v>
      </c>
      <c r="BN103" t="b">
        <v>0</v>
      </c>
      <c r="BO103">
        <v>7</v>
      </c>
      <c r="BP103" s="2">
        <v>450000</v>
      </c>
      <c r="BQ103" t="s">
        <v>189</v>
      </c>
      <c r="BR103">
        <v>244316</v>
      </c>
      <c r="BS103" t="b">
        <v>0</v>
      </c>
      <c r="BT103" t="b">
        <v>0</v>
      </c>
      <c r="BU103">
        <v>60</v>
      </c>
      <c r="BV103" t="s">
        <v>39</v>
      </c>
      <c r="BW103">
        <v>0</v>
      </c>
      <c r="BX103" t="s">
        <v>190</v>
      </c>
      <c r="BY103" t="b">
        <v>0</v>
      </c>
      <c r="CA103" t="s">
        <v>165</v>
      </c>
      <c r="CB103" t="b">
        <v>0</v>
      </c>
    </row>
    <row r="104" spans="13:80" x14ac:dyDescent="0.2">
      <c r="M104" t="s">
        <v>40</v>
      </c>
      <c r="N104" s="1">
        <v>44175.641250000001</v>
      </c>
      <c r="O104">
        <v>10902677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120000</v>
      </c>
      <c r="AA104">
        <v>79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>
        <v>0</v>
      </c>
      <c r="AL104" s="2">
        <v>0</v>
      </c>
      <c r="AM104">
        <v>0</v>
      </c>
      <c r="AN104">
        <v>0</v>
      </c>
      <c r="AO104">
        <v>0</v>
      </c>
      <c r="AP104">
        <v>0</v>
      </c>
      <c r="AQ104">
        <v>100</v>
      </c>
      <c r="AR104">
        <v>463</v>
      </c>
      <c r="AS104">
        <v>4.2500000000000003E-2</v>
      </c>
      <c r="AT104">
        <v>112207</v>
      </c>
      <c r="AU104">
        <v>10.291700000000001</v>
      </c>
      <c r="AV104">
        <v>36164</v>
      </c>
      <c r="AW104">
        <v>3.3170000000000002</v>
      </c>
      <c r="AX104">
        <v>132294</v>
      </c>
      <c r="AY104">
        <v>5669</v>
      </c>
      <c r="AZ104">
        <v>56125362</v>
      </c>
      <c r="BA104">
        <v>1930.34</v>
      </c>
      <c r="BB104">
        <v>1</v>
      </c>
      <c r="BC104">
        <v>10</v>
      </c>
      <c r="BD104">
        <v>-1</v>
      </c>
      <c r="BE104">
        <v>-1</v>
      </c>
      <c r="BF104">
        <v>60</v>
      </c>
      <c r="BG104">
        <v>20</v>
      </c>
      <c r="BH104" s="2">
        <v>20</v>
      </c>
      <c r="BI104" t="b">
        <v>1</v>
      </c>
      <c r="BJ104">
        <v>3</v>
      </c>
      <c r="BK104">
        <v>0</v>
      </c>
      <c r="BM104" t="b">
        <v>1</v>
      </c>
      <c r="BN104" t="b">
        <v>0</v>
      </c>
      <c r="BO104">
        <v>1</v>
      </c>
      <c r="BP104" s="2">
        <v>-1</v>
      </c>
      <c r="BQ104" t="s">
        <v>189</v>
      </c>
      <c r="BR104">
        <v>244316</v>
      </c>
      <c r="BS104" t="b">
        <v>0</v>
      </c>
      <c r="BT104" t="b">
        <v>1</v>
      </c>
      <c r="BU104">
        <v>60</v>
      </c>
      <c r="BV104" t="s">
        <v>39</v>
      </c>
      <c r="BW104">
        <v>0</v>
      </c>
      <c r="BX104" t="s">
        <v>166</v>
      </c>
      <c r="BY104" t="b">
        <v>0</v>
      </c>
      <c r="BZ104" t="s">
        <v>216</v>
      </c>
      <c r="CA104" t="s">
        <v>213</v>
      </c>
      <c r="CB104" t="b">
        <v>1</v>
      </c>
    </row>
    <row r="105" spans="13:80" x14ac:dyDescent="0.2">
      <c r="M105" t="s">
        <v>40</v>
      </c>
      <c r="N105" s="1">
        <v>44175.661805555559</v>
      </c>
      <c r="O105">
        <v>9129601</v>
      </c>
      <c r="P105">
        <v>33618</v>
      </c>
      <c r="Q105">
        <v>3.6823000000000001</v>
      </c>
      <c r="R105">
        <v>17729</v>
      </c>
      <c r="S105">
        <v>1.9419</v>
      </c>
      <c r="T105">
        <v>360</v>
      </c>
      <c r="U105">
        <v>3.9399999999999998E-2</v>
      </c>
      <c r="V105">
        <v>496527</v>
      </c>
      <c r="W105">
        <v>54.386499999999998</v>
      </c>
      <c r="X105">
        <v>516332</v>
      </c>
      <c r="Y105">
        <v>56.555799999999998</v>
      </c>
      <c r="Z105">
        <v>120000</v>
      </c>
      <c r="AA105">
        <v>75</v>
      </c>
      <c r="AB105" s="2">
        <v>40546</v>
      </c>
      <c r="AC105" s="2">
        <v>4579</v>
      </c>
      <c r="AD105" s="2">
        <v>11820672</v>
      </c>
      <c r="AE105" s="2">
        <v>86977</v>
      </c>
      <c r="AF105" s="2">
        <v>5474</v>
      </c>
      <c r="AG105" s="2">
        <v>4686418</v>
      </c>
      <c r="AH105" s="2">
        <v>17657</v>
      </c>
      <c r="AI105" s="2">
        <v>6684</v>
      </c>
      <c r="AJ105" s="2">
        <v>21864869</v>
      </c>
      <c r="AK105">
        <v>0</v>
      </c>
      <c r="AL105" s="2">
        <v>0</v>
      </c>
      <c r="AM105">
        <v>0</v>
      </c>
      <c r="AN105">
        <v>0</v>
      </c>
      <c r="AO105">
        <v>694.02</v>
      </c>
      <c r="AP105">
        <v>10252.44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5</v>
      </c>
      <c r="BC105">
        <v>5</v>
      </c>
      <c r="BD105">
        <v>250</v>
      </c>
      <c r="BE105">
        <v>7920</v>
      </c>
      <c r="BF105">
        <v>60</v>
      </c>
      <c r="BG105">
        <v>20</v>
      </c>
      <c r="BH105" s="2">
        <v>20</v>
      </c>
      <c r="BI105" t="b">
        <v>1</v>
      </c>
      <c r="BJ105">
        <v>3</v>
      </c>
      <c r="BK105">
        <v>0</v>
      </c>
      <c r="BM105" t="b">
        <v>1</v>
      </c>
      <c r="BN105" t="b">
        <v>0</v>
      </c>
      <c r="BO105">
        <v>7</v>
      </c>
      <c r="BP105" s="2">
        <v>450000</v>
      </c>
      <c r="BQ105" t="s">
        <v>189</v>
      </c>
      <c r="BR105">
        <v>244316</v>
      </c>
      <c r="BS105" t="b">
        <v>0</v>
      </c>
      <c r="BT105" t="b">
        <v>0</v>
      </c>
      <c r="BU105">
        <v>60</v>
      </c>
      <c r="BV105" t="s">
        <v>39</v>
      </c>
      <c r="BW105">
        <v>0</v>
      </c>
      <c r="BX105" t="s">
        <v>190</v>
      </c>
      <c r="BY105" t="b">
        <v>0</v>
      </c>
      <c r="CA105" t="s">
        <v>165</v>
      </c>
      <c r="CB105" t="b">
        <v>0</v>
      </c>
    </row>
    <row r="106" spans="13:80" x14ac:dyDescent="0.2">
      <c r="M106" t="s">
        <v>40</v>
      </c>
      <c r="N106" s="1">
        <v>44175.641238425924</v>
      </c>
      <c r="O106">
        <v>10903485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120000</v>
      </c>
      <c r="AA106">
        <v>151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>
        <v>0</v>
      </c>
      <c r="AL106" s="2">
        <v>0</v>
      </c>
      <c r="AM106">
        <v>0</v>
      </c>
      <c r="AN106">
        <v>0</v>
      </c>
      <c r="AO106">
        <v>0</v>
      </c>
      <c r="AP106">
        <v>0</v>
      </c>
      <c r="AQ106">
        <v>100</v>
      </c>
      <c r="AR106">
        <v>476</v>
      </c>
      <c r="AS106">
        <v>4.3700000000000003E-2</v>
      </c>
      <c r="AT106">
        <v>174381</v>
      </c>
      <c r="AU106">
        <v>15.9931</v>
      </c>
      <c r="AV106">
        <v>36095</v>
      </c>
      <c r="AW106">
        <v>3.3104</v>
      </c>
      <c r="AX106">
        <v>123450</v>
      </c>
      <c r="AY106">
        <v>3873</v>
      </c>
      <c r="AZ106">
        <v>59407441</v>
      </c>
      <c r="BA106">
        <v>3016.84</v>
      </c>
      <c r="BB106">
        <v>1</v>
      </c>
      <c r="BC106">
        <v>10</v>
      </c>
      <c r="BD106">
        <v>-1</v>
      </c>
      <c r="BE106">
        <v>-1</v>
      </c>
      <c r="BF106">
        <v>60</v>
      </c>
      <c r="BG106">
        <v>20</v>
      </c>
      <c r="BH106" s="2">
        <v>20</v>
      </c>
      <c r="BI106" t="b">
        <v>1</v>
      </c>
      <c r="BJ106">
        <v>3</v>
      </c>
      <c r="BK106">
        <v>0</v>
      </c>
      <c r="BM106" t="b">
        <v>1</v>
      </c>
      <c r="BN106" t="b">
        <v>0</v>
      </c>
      <c r="BO106">
        <v>1</v>
      </c>
      <c r="BP106" s="2">
        <v>-1</v>
      </c>
      <c r="BQ106" t="s">
        <v>189</v>
      </c>
      <c r="BR106">
        <v>244316</v>
      </c>
      <c r="BS106" t="b">
        <v>0</v>
      </c>
      <c r="BT106" t="b">
        <v>1</v>
      </c>
      <c r="BU106">
        <v>60</v>
      </c>
      <c r="BV106" t="s">
        <v>39</v>
      </c>
      <c r="BW106">
        <v>0</v>
      </c>
      <c r="BX106" t="s">
        <v>166</v>
      </c>
      <c r="BY106" t="b">
        <v>0</v>
      </c>
      <c r="BZ106" t="s">
        <v>216</v>
      </c>
      <c r="CA106" t="s">
        <v>213</v>
      </c>
      <c r="CB106" t="b">
        <v>1</v>
      </c>
    </row>
    <row r="107" spans="13:80" x14ac:dyDescent="0.2">
      <c r="M107" t="s">
        <v>40</v>
      </c>
      <c r="N107" s="1">
        <v>44175.661805555559</v>
      </c>
      <c r="O107">
        <v>9129601</v>
      </c>
      <c r="P107">
        <v>33180</v>
      </c>
      <c r="Q107">
        <v>3.6343000000000001</v>
      </c>
      <c r="R107">
        <v>12101</v>
      </c>
      <c r="S107">
        <v>1.3254999999999999</v>
      </c>
      <c r="T107">
        <v>360</v>
      </c>
      <c r="U107">
        <v>3.9399999999999998E-2</v>
      </c>
      <c r="V107">
        <v>377540</v>
      </c>
      <c r="W107">
        <v>41.353400000000001</v>
      </c>
      <c r="X107">
        <v>581808</v>
      </c>
      <c r="Y107">
        <v>63.727600000000002</v>
      </c>
      <c r="Z107">
        <v>120000</v>
      </c>
      <c r="AA107">
        <v>51</v>
      </c>
      <c r="AB107" s="2">
        <v>51919</v>
      </c>
      <c r="AC107" s="2">
        <v>3967</v>
      </c>
      <c r="AD107" s="2">
        <v>16106981</v>
      </c>
      <c r="AE107" s="2">
        <v>47274</v>
      </c>
      <c r="AF107" s="2">
        <v>4579</v>
      </c>
      <c r="AG107" s="2">
        <v>2849738</v>
      </c>
      <c r="AH107" s="2">
        <v>15674</v>
      </c>
      <c r="AI107" s="2">
        <v>8276</v>
      </c>
      <c r="AJ107" s="2">
        <v>3905824</v>
      </c>
      <c r="AK107">
        <v>0</v>
      </c>
      <c r="AL107" s="2">
        <v>0</v>
      </c>
      <c r="AM107">
        <v>0</v>
      </c>
      <c r="AN107">
        <v>0</v>
      </c>
      <c r="AO107">
        <v>681.62</v>
      </c>
      <c r="AP107">
        <v>7753.6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5</v>
      </c>
      <c r="BC107">
        <v>5</v>
      </c>
      <c r="BD107">
        <v>250</v>
      </c>
      <c r="BE107">
        <v>7920</v>
      </c>
      <c r="BF107">
        <v>60</v>
      </c>
      <c r="BG107">
        <v>20</v>
      </c>
      <c r="BH107" s="2">
        <v>20</v>
      </c>
      <c r="BI107" t="b">
        <v>1</v>
      </c>
      <c r="BJ107">
        <v>3</v>
      </c>
      <c r="BK107">
        <v>0</v>
      </c>
      <c r="BM107" t="b">
        <v>1</v>
      </c>
      <c r="BN107" t="b">
        <v>0</v>
      </c>
      <c r="BO107">
        <v>7</v>
      </c>
      <c r="BP107" s="2">
        <v>450000</v>
      </c>
      <c r="BQ107" t="s">
        <v>189</v>
      </c>
      <c r="BR107">
        <v>244316</v>
      </c>
      <c r="BS107" t="b">
        <v>0</v>
      </c>
      <c r="BT107" t="b">
        <v>0</v>
      </c>
      <c r="BU107">
        <v>60</v>
      </c>
      <c r="BV107" t="s">
        <v>39</v>
      </c>
      <c r="BW107">
        <v>0</v>
      </c>
      <c r="BX107" t="s">
        <v>190</v>
      </c>
      <c r="BY107" t="b">
        <v>0</v>
      </c>
      <c r="CA107" t="s">
        <v>165</v>
      </c>
      <c r="CB107" t="b">
        <v>0</v>
      </c>
    </row>
    <row r="108" spans="13:80" x14ac:dyDescent="0.2">
      <c r="M108" t="s">
        <v>40</v>
      </c>
      <c r="N108" s="1">
        <v>44175.641238425924</v>
      </c>
      <c r="O108">
        <v>10903609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120000</v>
      </c>
      <c r="AA108">
        <v>55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>
        <v>0</v>
      </c>
      <c r="AL108" s="2">
        <v>0</v>
      </c>
      <c r="AM108">
        <v>0</v>
      </c>
      <c r="AN108">
        <v>0</v>
      </c>
      <c r="AO108">
        <v>0</v>
      </c>
      <c r="AP108">
        <v>0</v>
      </c>
      <c r="AQ108">
        <v>100</v>
      </c>
      <c r="AR108">
        <v>446</v>
      </c>
      <c r="AS108">
        <v>4.0899999999999999E-2</v>
      </c>
      <c r="AT108">
        <v>107890</v>
      </c>
      <c r="AU108">
        <v>9.8948999999999998</v>
      </c>
      <c r="AV108">
        <v>36179</v>
      </c>
      <c r="AW108">
        <v>3.3180999999999998</v>
      </c>
      <c r="AX108">
        <v>168571</v>
      </c>
      <c r="AY108">
        <v>3677</v>
      </c>
      <c r="AZ108">
        <v>59142225</v>
      </c>
      <c r="BA108">
        <v>1857.07</v>
      </c>
      <c r="BB108">
        <v>1</v>
      </c>
      <c r="BC108">
        <v>10</v>
      </c>
      <c r="BD108">
        <v>-1</v>
      </c>
      <c r="BE108">
        <v>-1</v>
      </c>
      <c r="BF108">
        <v>60</v>
      </c>
      <c r="BG108">
        <v>20</v>
      </c>
      <c r="BH108" s="2">
        <v>20</v>
      </c>
      <c r="BI108" t="b">
        <v>1</v>
      </c>
      <c r="BJ108">
        <v>3</v>
      </c>
      <c r="BK108">
        <v>0</v>
      </c>
      <c r="BM108" t="b">
        <v>1</v>
      </c>
      <c r="BN108" t="b">
        <v>0</v>
      </c>
      <c r="BO108">
        <v>1</v>
      </c>
      <c r="BP108" s="2">
        <v>-1</v>
      </c>
      <c r="BQ108" t="s">
        <v>189</v>
      </c>
      <c r="BR108">
        <v>244316</v>
      </c>
      <c r="BS108" t="b">
        <v>0</v>
      </c>
      <c r="BT108" t="b">
        <v>1</v>
      </c>
      <c r="BU108">
        <v>60</v>
      </c>
      <c r="BV108" t="s">
        <v>39</v>
      </c>
      <c r="BW108">
        <v>0</v>
      </c>
      <c r="BX108" t="s">
        <v>166</v>
      </c>
      <c r="BY108" t="b">
        <v>0</v>
      </c>
      <c r="BZ108" t="s">
        <v>216</v>
      </c>
      <c r="CA108" t="s">
        <v>213</v>
      </c>
      <c r="CB108" t="b">
        <v>1</v>
      </c>
    </row>
    <row r="109" spans="13:80" x14ac:dyDescent="0.2">
      <c r="M109" t="s">
        <v>40</v>
      </c>
      <c r="N109" s="1">
        <v>44175.661851851852</v>
      </c>
      <c r="O109">
        <v>9129601</v>
      </c>
      <c r="P109">
        <v>33192</v>
      </c>
      <c r="Q109">
        <v>3.6356000000000002</v>
      </c>
      <c r="R109">
        <v>9278</v>
      </c>
      <c r="S109">
        <v>1.0163</v>
      </c>
      <c r="T109">
        <v>360</v>
      </c>
      <c r="U109">
        <v>3.9399999999999998E-2</v>
      </c>
      <c r="V109">
        <v>255344</v>
      </c>
      <c r="W109">
        <v>27.968800000000002</v>
      </c>
      <c r="X109">
        <v>530203</v>
      </c>
      <c r="Y109">
        <v>58.075200000000002</v>
      </c>
      <c r="Z109">
        <v>120000</v>
      </c>
      <c r="AA109">
        <v>55</v>
      </c>
      <c r="AB109" s="2">
        <v>46921</v>
      </c>
      <c r="AC109" s="2">
        <v>5498</v>
      </c>
      <c r="AD109" s="2">
        <v>16037340</v>
      </c>
      <c r="AE109" s="2">
        <v>50222</v>
      </c>
      <c r="AF109" s="2">
        <v>6236</v>
      </c>
      <c r="AG109" s="2">
        <v>4062794</v>
      </c>
      <c r="AH109" s="2">
        <v>17189</v>
      </c>
      <c r="AI109" s="2">
        <v>6823</v>
      </c>
      <c r="AJ109" s="2">
        <v>21862493</v>
      </c>
      <c r="AK109">
        <v>0</v>
      </c>
      <c r="AL109" s="2">
        <v>0</v>
      </c>
      <c r="AM109">
        <v>0</v>
      </c>
      <c r="AN109">
        <v>0</v>
      </c>
      <c r="AO109">
        <v>677.93</v>
      </c>
      <c r="AP109">
        <v>5216.09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5</v>
      </c>
      <c r="BC109">
        <v>5</v>
      </c>
      <c r="BD109">
        <v>250</v>
      </c>
      <c r="BE109">
        <v>7920</v>
      </c>
      <c r="BF109">
        <v>60</v>
      </c>
      <c r="BG109">
        <v>20</v>
      </c>
      <c r="BH109" s="2">
        <v>20</v>
      </c>
      <c r="BI109" t="b">
        <v>1</v>
      </c>
      <c r="BJ109">
        <v>3</v>
      </c>
      <c r="BK109">
        <v>0</v>
      </c>
      <c r="BM109" t="b">
        <v>1</v>
      </c>
      <c r="BN109" t="b">
        <v>0</v>
      </c>
      <c r="BO109">
        <v>7</v>
      </c>
      <c r="BP109" s="2">
        <v>450000</v>
      </c>
      <c r="BQ109" t="s">
        <v>189</v>
      </c>
      <c r="BR109">
        <v>244316</v>
      </c>
      <c r="BS109" t="b">
        <v>0</v>
      </c>
      <c r="BT109" t="b">
        <v>0</v>
      </c>
      <c r="BU109">
        <v>60</v>
      </c>
      <c r="BV109" t="s">
        <v>39</v>
      </c>
      <c r="BW109">
        <v>0</v>
      </c>
      <c r="BX109" t="s">
        <v>190</v>
      </c>
      <c r="BY109" t="b">
        <v>0</v>
      </c>
      <c r="CA109" t="s">
        <v>165</v>
      </c>
      <c r="CB109" t="b">
        <v>0</v>
      </c>
    </row>
    <row r="110" spans="13:80" x14ac:dyDescent="0.2">
      <c r="M110" t="s">
        <v>40</v>
      </c>
      <c r="N110" s="1">
        <v>44175.641250000001</v>
      </c>
      <c r="O110">
        <v>10903112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120000</v>
      </c>
      <c r="AA110">
        <v>55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>
        <v>0</v>
      </c>
      <c r="AL110" s="2">
        <v>0</v>
      </c>
      <c r="AM110">
        <v>0</v>
      </c>
      <c r="AN110">
        <v>0</v>
      </c>
      <c r="AO110">
        <v>0</v>
      </c>
      <c r="AP110">
        <v>0</v>
      </c>
      <c r="AQ110">
        <v>100</v>
      </c>
      <c r="AR110">
        <v>354</v>
      </c>
      <c r="AS110">
        <v>3.2500000000000001E-2</v>
      </c>
      <c r="AT110">
        <v>84734</v>
      </c>
      <c r="AU110">
        <v>7.7714999999999996</v>
      </c>
      <c r="AV110">
        <v>36187</v>
      </c>
      <c r="AW110">
        <v>3.319</v>
      </c>
      <c r="AX110">
        <v>177178</v>
      </c>
      <c r="AY110">
        <v>5085</v>
      </c>
      <c r="AZ110">
        <v>51369326</v>
      </c>
      <c r="BA110">
        <v>1443.44</v>
      </c>
      <c r="BB110">
        <v>1</v>
      </c>
      <c r="BC110">
        <v>10</v>
      </c>
      <c r="BD110">
        <v>-1</v>
      </c>
      <c r="BE110">
        <v>-1</v>
      </c>
      <c r="BF110">
        <v>60</v>
      </c>
      <c r="BG110">
        <v>20</v>
      </c>
      <c r="BH110" s="2">
        <v>20</v>
      </c>
      <c r="BI110" t="b">
        <v>1</v>
      </c>
      <c r="BJ110">
        <v>3</v>
      </c>
      <c r="BK110">
        <v>0</v>
      </c>
      <c r="BM110" t="b">
        <v>1</v>
      </c>
      <c r="BN110" t="b">
        <v>0</v>
      </c>
      <c r="BO110">
        <v>1</v>
      </c>
      <c r="BP110" s="2">
        <v>-1</v>
      </c>
      <c r="BQ110" t="s">
        <v>189</v>
      </c>
      <c r="BR110">
        <v>244316</v>
      </c>
      <c r="BS110" t="b">
        <v>0</v>
      </c>
      <c r="BT110" t="b">
        <v>1</v>
      </c>
      <c r="BU110">
        <v>60</v>
      </c>
      <c r="BV110" t="s">
        <v>39</v>
      </c>
      <c r="BW110">
        <v>0</v>
      </c>
      <c r="BX110" t="s">
        <v>166</v>
      </c>
      <c r="BY110" t="b">
        <v>0</v>
      </c>
      <c r="BZ110" t="s">
        <v>216</v>
      </c>
      <c r="CA110" t="s">
        <v>213</v>
      </c>
      <c r="CB110" t="b">
        <v>1</v>
      </c>
    </row>
    <row r="111" spans="13:80" x14ac:dyDescent="0.2">
      <c r="M111" t="s">
        <v>40</v>
      </c>
      <c r="N111" s="1">
        <v>44175.661863425928</v>
      </c>
      <c r="O111">
        <v>9129602</v>
      </c>
      <c r="P111">
        <v>33681</v>
      </c>
      <c r="Q111">
        <v>3.6892</v>
      </c>
      <c r="R111">
        <v>17959</v>
      </c>
      <c r="S111">
        <v>1.9671000000000001</v>
      </c>
      <c r="T111">
        <v>360</v>
      </c>
      <c r="U111">
        <v>3.9399999999999998E-2</v>
      </c>
      <c r="V111">
        <v>870689</v>
      </c>
      <c r="W111">
        <v>95.369900000000001</v>
      </c>
      <c r="X111">
        <v>894172</v>
      </c>
      <c r="Y111">
        <v>97.942099999999996</v>
      </c>
      <c r="Z111">
        <v>120000</v>
      </c>
      <c r="AA111">
        <v>0</v>
      </c>
      <c r="AB111" s="2">
        <v>34867</v>
      </c>
      <c r="AC111" s="2">
        <v>5533</v>
      </c>
      <c r="AD111" s="2">
        <v>15988800</v>
      </c>
      <c r="AE111" s="2">
        <v>50284</v>
      </c>
      <c r="AF111" s="2">
        <v>6079</v>
      </c>
      <c r="AG111" s="2">
        <v>4498304</v>
      </c>
      <c r="AH111" s="2">
        <v>10173</v>
      </c>
      <c r="AI111" s="2">
        <v>6150</v>
      </c>
      <c r="AJ111" s="2">
        <v>4712018</v>
      </c>
      <c r="AK111">
        <v>0</v>
      </c>
      <c r="AL111" s="2">
        <v>0</v>
      </c>
      <c r="AM111">
        <v>0</v>
      </c>
      <c r="AN111">
        <v>0</v>
      </c>
      <c r="AO111">
        <v>695.5</v>
      </c>
      <c r="AP111">
        <v>17978.28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5</v>
      </c>
      <c r="BC111">
        <v>5</v>
      </c>
      <c r="BD111">
        <v>250</v>
      </c>
      <c r="BE111">
        <v>7920</v>
      </c>
      <c r="BF111">
        <v>60</v>
      </c>
      <c r="BG111">
        <v>20</v>
      </c>
      <c r="BH111" s="2">
        <v>20</v>
      </c>
      <c r="BI111" t="b">
        <v>1</v>
      </c>
      <c r="BJ111">
        <v>3</v>
      </c>
      <c r="BK111">
        <v>0</v>
      </c>
      <c r="BM111" t="b">
        <v>1</v>
      </c>
      <c r="BN111" t="b">
        <v>0</v>
      </c>
      <c r="BO111">
        <v>7</v>
      </c>
      <c r="BP111" s="2">
        <v>450000</v>
      </c>
      <c r="BQ111" t="s">
        <v>189</v>
      </c>
      <c r="BR111">
        <v>244316</v>
      </c>
      <c r="BS111" t="b">
        <v>0</v>
      </c>
      <c r="BT111" t="b">
        <v>0</v>
      </c>
      <c r="BU111">
        <v>60</v>
      </c>
      <c r="BV111" t="s">
        <v>39</v>
      </c>
      <c r="BW111">
        <v>0</v>
      </c>
      <c r="BX111" t="s">
        <v>190</v>
      </c>
      <c r="BY111" t="b">
        <v>0</v>
      </c>
      <c r="CA111" t="s">
        <v>165</v>
      </c>
      <c r="CB111" t="b">
        <v>0</v>
      </c>
    </row>
    <row r="112" spans="13:80" x14ac:dyDescent="0.2">
      <c r="M112" t="s">
        <v>40</v>
      </c>
      <c r="N112" s="1">
        <v>44175.641238425924</v>
      </c>
      <c r="O112">
        <v>10903481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120000</v>
      </c>
      <c r="AA112">
        <v>158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>
        <v>0</v>
      </c>
      <c r="AL112" s="2">
        <v>0</v>
      </c>
      <c r="AM112">
        <v>0</v>
      </c>
      <c r="AN112">
        <v>0</v>
      </c>
      <c r="AO112">
        <v>0</v>
      </c>
      <c r="AP112">
        <v>0</v>
      </c>
      <c r="AQ112">
        <v>100</v>
      </c>
      <c r="AR112">
        <v>545</v>
      </c>
      <c r="AS112">
        <v>0.05</v>
      </c>
      <c r="AT112">
        <v>173952</v>
      </c>
      <c r="AU112">
        <v>15.953799999999999</v>
      </c>
      <c r="AV112">
        <v>36079</v>
      </c>
      <c r="AW112">
        <v>3.3089</v>
      </c>
      <c r="AX112">
        <v>190571</v>
      </c>
      <c r="AY112">
        <v>5263</v>
      </c>
      <c r="AZ112">
        <v>58974561</v>
      </c>
      <c r="BA112">
        <v>3013.22</v>
      </c>
      <c r="BB112">
        <v>1</v>
      </c>
      <c r="BC112">
        <v>10</v>
      </c>
      <c r="BD112">
        <v>-1</v>
      </c>
      <c r="BE112">
        <v>-1</v>
      </c>
      <c r="BF112">
        <v>60</v>
      </c>
      <c r="BG112">
        <v>20</v>
      </c>
      <c r="BH112" s="2">
        <v>20</v>
      </c>
      <c r="BI112" t="b">
        <v>1</v>
      </c>
      <c r="BJ112">
        <v>3</v>
      </c>
      <c r="BK112">
        <v>0</v>
      </c>
      <c r="BM112" t="b">
        <v>1</v>
      </c>
      <c r="BN112" t="b">
        <v>0</v>
      </c>
      <c r="BO112">
        <v>1</v>
      </c>
      <c r="BP112" s="2">
        <v>-1</v>
      </c>
      <c r="BQ112" t="s">
        <v>189</v>
      </c>
      <c r="BR112">
        <v>244316</v>
      </c>
      <c r="BS112" t="b">
        <v>0</v>
      </c>
      <c r="BT112" t="b">
        <v>1</v>
      </c>
      <c r="BU112">
        <v>60</v>
      </c>
      <c r="BV112" t="s">
        <v>39</v>
      </c>
      <c r="BW112">
        <v>0</v>
      </c>
      <c r="BX112" t="s">
        <v>166</v>
      </c>
      <c r="BY112" t="b">
        <v>0</v>
      </c>
      <c r="BZ112" t="s">
        <v>216</v>
      </c>
      <c r="CA112" t="s">
        <v>213</v>
      </c>
      <c r="CB112" t="b">
        <v>1</v>
      </c>
    </row>
    <row r="113" spans="13:80" x14ac:dyDescent="0.2">
      <c r="M113" t="s">
        <v>40</v>
      </c>
      <c r="N113" s="1">
        <v>44175.661805555559</v>
      </c>
      <c r="O113">
        <v>9129601</v>
      </c>
      <c r="P113">
        <v>33667</v>
      </c>
      <c r="Q113">
        <v>3.6877</v>
      </c>
      <c r="R113">
        <v>17987</v>
      </c>
      <c r="S113">
        <v>1.9702</v>
      </c>
      <c r="T113">
        <v>360</v>
      </c>
      <c r="U113">
        <v>3.9399999999999998E-2</v>
      </c>
      <c r="V113">
        <v>905204</v>
      </c>
      <c r="W113">
        <v>99.150400000000005</v>
      </c>
      <c r="X113">
        <v>929538</v>
      </c>
      <c r="Y113">
        <v>101.8158</v>
      </c>
      <c r="Z113">
        <v>120000</v>
      </c>
      <c r="AA113">
        <v>26</v>
      </c>
      <c r="AB113" s="2">
        <v>33780</v>
      </c>
      <c r="AC113" s="2">
        <v>5115</v>
      </c>
      <c r="AD113" s="2">
        <v>10926623</v>
      </c>
      <c r="AE113" s="2">
        <v>36917</v>
      </c>
      <c r="AF113" s="2">
        <v>5907</v>
      </c>
      <c r="AG113" s="2">
        <v>5557074</v>
      </c>
      <c r="AH113" s="2">
        <v>9616</v>
      </c>
      <c r="AI113" s="2">
        <v>4772</v>
      </c>
      <c r="AJ113" s="2">
        <v>4711820</v>
      </c>
      <c r="AK113">
        <v>0</v>
      </c>
      <c r="AL113" s="2">
        <v>0</v>
      </c>
      <c r="AM113">
        <v>0</v>
      </c>
      <c r="AN113">
        <v>0</v>
      </c>
      <c r="AO113">
        <v>687.65</v>
      </c>
      <c r="AP113">
        <v>18493.86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5</v>
      </c>
      <c r="BC113">
        <v>5</v>
      </c>
      <c r="BD113">
        <v>250</v>
      </c>
      <c r="BE113">
        <v>7920</v>
      </c>
      <c r="BF113">
        <v>60</v>
      </c>
      <c r="BG113">
        <v>20</v>
      </c>
      <c r="BH113" s="2">
        <v>20</v>
      </c>
      <c r="BI113" t="b">
        <v>1</v>
      </c>
      <c r="BJ113">
        <v>3</v>
      </c>
      <c r="BK113">
        <v>0</v>
      </c>
      <c r="BM113" t="b">
        <v>1</v>
      </c>
      <c r="BN113" t="b">
        <v>0</v>
      </c>
      <c r="BO113">
        <v>7</v>
      </c>
      <c r="BP113" s="2">
        <v>450000</v>
      </c>
      <c r="BQ113" t="s">
        <v>189</v>
      </c>
      <c r="BR113">
        <v>244316</v>
      </c>
      <c r="BS113" t="b">
        <v>0</v>
      </c>
      <c r="BT113" t="b">
        <v>0</v>
      </c>
      <c r="BU113">
        <v>60</v>
      </c>
      <c r="BV113" t="s">
        <v>39</v>
      </c>
      <c r="BW113">
        <v>0</v>
      </c>
      <c r="BX113" t="s">
        <v>190</v>
      </c>
      <c r="BY113" t="b">
        <v>0</v>
      </c>
      <c r="CA113" t="s">
        <v>165</v>
      </c>
      <c r="CB113" t="b">
        <v>0</v>
      </c>
    </row>
    <row r="114" spans="13:80" x14ac:dyDescent="0.2">
      <c r="M114" t="s">
        <v>40</v>
      </c>
      <c r="N114" s="1">
        <v>44175.641238425924</v>
      </c>
      <c r="O114">
        <v>10903584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120000</v>
      </c>
      <c r="AA114">
        <v>102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>
        <v>0</v>
      </c>
      <c r="AL114" s="2">
        <v>0</v>
      </c>
      <c r="AM114">
        <v>0</v>
      </c>
      <c r="AN114">
        <v>0</v>
      </c>
      <c r="AO114">
        <v>0</v>
      </c>
      <c r="AP114">
        <v>0</v>
      </c>
      <c r="AQ114">
        <v>100</v>
      </c>
      <c r="AR114">
        <v>551</v>
      </c>
      <c r="AS114">
        <v>5.0500000000000003E-2</v>
      </c>
      <c r="AT114">
        <v>176691</v>
      </c>
      <c r="AU114">
        <v>16.204899999999999</v>
      </c>
      <c r="AV114">
        <v>36136</v>
      </c>
      <c r="AW114">
        <v>3.3140999999999998</v>
      </c>
      <c r="AX114">
        <v>129532</v>
      </c>
      <c r="AY114">
        <v>4995</v>
      </c>
      <c r="AZ114">
        <v>53841263</v>
      </c>
      <c r="BA114">
        <v>3018.53</v>
      </c>
      <c r="BB114">
        <v>1</v>
      </c>
      <c r="BC114">
        <v>10</v>
      </c>
      <c r="BD114">
        <v>-1</v>
      </c>
      <c r="BE114">
        <v>-1</v>
      </c>
      <c r="BF114">
        <v>60</v>
      </c>
      <c r="BG114">
        <v>20</v>
      </c>
      <c r="BH114" s="2">
        <v>20</v>
      </c>
      <c r="BI114" t="b">
        <v>1</v>
      </c>
      <c r="BJ114">
        <v>3</v>
      </c>
      <c r="BK114">
        <v>0</v>
      </c>
      <c r="BM114" t="b">
        <v>1</v>
      </c>
      <c r="BN114" t="b">
        <v>0</v>
      </c>
      <c r="BO114">
        <v>1</v>
      </c>
      <c r="BP114" s="2">
        <v>-1</v>
      </c>
      <c r="BQ114" t="s">
        <v>189</v>
      </c>
      <c r="BR114">
        <v>244316</v>
      </c>
      <c r="BS114" t="b">
        <v>0</v>
      </c>
      <c r="BT114" t="b">
        <v>1</v>
      </c>
      <c r="BU114">
        <v>60</v>
      </c>
      <c r="BV114" t="s">
        <v>39</v>
      </c>
      <c r="BW114">
        <v>0</v>
      </c>
      <c r="BX114" t="s">
        <v>166</v>
      </c>
      <c r="BY114" t="b">
        <v>0</v>
      </c>
      <c r="BZ114" t="s">
        <v>216</v>
      </c>
      <c r="CA114" t="s">
        <v>213</v>
      </c>
      <c r="CB114" t="b">
        <v>1</v>
      </c>
    </row>
    <row r="115" spans="13:80" x14ac:dyDescent="0.2">
      <c r="M115" t="s">
        <v>40</v>
      </c>
      <c r="N115" s="1">
        <v>44175.661805555559</v>
      </c>
      <c r="O115">
        <v>9129603</v>
      </c>
      <c r="P115">
        <v>33681</v>
      </c>
      <c r="Q115">
        <v>3.6892</v>
      </c>
      <c r="R115">
        <v>17821</v>
      </c>
      <c r="S115">
        <v>1.952</v>
      </c>
      <c r="T115">
        <v>360</v>
      </c>
      <c r="U115">
        <v>3.9399999999999998E-2</v>
      </c>
      <c r="V115">
        <v>887059</v>
      </c>
      <c r="W115">
        <v>97.162899999999993</v>
      </c>
      <c r="X115">
        <v>917655</v>
      </c>
      <c r="Y115">
        <v>100.5142</v>
      </c>
      <c r="Z115">
        <v>120000</v>
      </c>
      <c r="AA115">
        <v>36</v>
      </c>
      <c r="AB115" s="2">
        <v>31133</v>
      </c>
      <c r="AC115" s="2">
        <v>5483</v>
      </c>
      <c r="AD115" s="2">
        <v>11943054</v>
      </c>
      <c r="AE115" s="2">
        <v>41053</v>
      </c>
      <c r="AF115" s="2">
        <v>6573</v>
      </c>
      <c r="AG115" s="2">
        <v>2847868</v>
      </c>
      <c r="AH115" s="2">
        <v>9796</v>
      </c>
      <c r="AI115" s="2">
        <v>4944</v>
      </c>
      <c r="AJ115" s="2">
        <v>4711273</v>
      </c>
      <c r="AK115">
        <v>0</v>
      </c>
      <c r="AL115" s="2">
        <v>0</v>
      </c>
      <c r="AM115">
        <v>0</v>
      </c>
      <c r="AN115">
        <v>0</v>
      </c>
      <c r="AO115">
        <v>688.26</v>
      </c>
      <c r="AP115">
        <v>18121.009999999998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</v>
      </c>
      <c r="BC115">
        <v>5</v>
      </c>
      <c r="BD115">
        <v>250</v>
      </c>
      <c r="BE115">
        <v>7920</v>
      </c>
      <c r="BF115">
        <v>60</v>
      </c>
      <c r="BG115">
        <v>20</v>
      </c>
      <c r="BH115" s="2">
        <v>20</v>
      </c>
      <c r="BI115" t="b">
        <v>1</v>
      </c>
      <c r="BJ115">
        <v>3</v>
      </c>
      <c r="BK115">
        <v>0</v>
      </c>
      <c r="BM115" t="b">
        <v>1</v>
      </c>
      <c r="BN115" t="b">
        <v>0</v>
      </c>
      <c r="BO115">
        <v>7</v>
      </c>
      <c r="BP115" s="2">
        <v>450000</v>
      </c>
      <c r="BQ115" t="s">
        <v>189</v>
      </c>
      <c r="BR115">
        <v>244316</v>
      </c>
      <c r="BS115" t="b">
        <v>0</v>
      </c>
      <c r="BT115" t="b">
        <v>0</v>
      </c>
      <c r="BU115">
        <v>60</v>
      </c>
      <c r="BV115" t="s">
        <v>39</v>
      </c>
      <c r="BW115">
        <v>0</v>
      </c>
      <c r="BX115" t="s">
        <v>190</v>
      </c>
      <c r="BY115" t="b">
        <v>0</v>
      </c>
      <c r="CA115" t="s">
        <v>165</v>
      </c>
      <c r="CB115" t="b">
        <v>0</v>
      </c>
    </row>
    <row r="116" spans="13:80" x14ac:dyDescent="0.2">
      <c r="M116" t="s">
        <v>40</v>
      </c>
      <c r="N116" s="1">
        <v>44175.641250000001</v>
      </c>
      <c r="O116">
        <v>10903328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120000</v>
      </c>
      <c r="AA116">
        <v>128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>
        <v>0</v>
      </c>
      <c r="AL116" s="2">
        <v>0</v>
      </c>
      <c r="AM116">
        <v>0</v>
      </c>
      <c r="AN116">
        <v>0</v>
      </c>
      <c r="AO116">
        <v>0</v>
      </c>
      <c r="AP116">
        <v>0</v>
      </c>
      <c r="AQ116">
        <v>100</v>
      </c>
      <c r="AR116">
        <v>524</v>
      </c>
      <c r="AS116">
        <v>4.8099999999999997E-2</v>
      </c>
      <c r="AT116">
        <v>173099</v>
      </c>
      <c r="AU116">
        <v>15.8758</v>
      </c>
      <c r="AV116">
        <v>36116</v>
      </c>
      <c r="AW116">
        <v>3.3123999999999998</v>
      </c>
      <c r="AX116">
        <v>114346</v>
      </c>
      <c r="AY116">
        <v>5303</v>
      </c>
      <c r="AZ116">
        <v>56793377</v>
      </c>
      <c r="BA116">
        <v>2959.16</v>
      </c>
      <c r="BB116">
        <v>1</v>
      </c>
      <c r="BC116">
        <v>10</v>
      </c>
      <c r="BD116">
        <v>-1</v>
      </c>
      <c r="BE116">
        <v>-1</v>
      </c>
      <c r="BF116">
        <v>60</v>
      </c>
      <c r="BG116">
        <v>20</v>
      </c>
      <c r="BH116" s="2">
        <v>20</v>
      </c>
      <c r="BI116" t="b">
        <v>1</v>
      </c>
      <c r="BJ116">
        <v>3</v>
      </c>
      <c r="BK116">
        <v>0</v>
      </c>
      <c r="BM116" t="b">
        <v>1</v>
      </c>
      <c r="BN116" t="b">
        <v>0</v>
      </c>
      <c r="BO116">
        <v>1</v>
      </c>
      <c r="BP116" s="2">
        <v>-1</v>
      </c>
      <c r="BQ116" t="s">
        <v>189</v>
      </c>
      <c r="BR116">
        <v>244316</v>
      </c>
      <c r="BS116" t="b">
        <v>0</v>
      </c>
      <c r="BT116" t="b">
        <v>1</v>
      </c>
      <c r="BU116">
        <v>60</v>
      </c>
      <c r="BV116" t="s">
        <v>39</v>
      </c>
      <c r="BW116">
        <v>0</v>
      </c>
      <c r="BX116" t="s">
        <v>166</v>
      </c>
      <c r="BY116" t="b">
        <v>0</v>
      </c>
      <c r="BZ116" t="s">
        <v>216</v>
      </c>
      <c r="CA116" t="s">
        <v>213</v>
      </c>
      <c r="CB116" t="b">
        <v>1</v>
      </c>
    </row>
    <row r="117" spans="13:80" x14ac:dyDescent="0.2">
      <c r="M117" t="s">
        <v>40</v>
      </c>
      <c r="N117" s="1">
        <v>44175.661805555559</v>
      </c>
      <c r="O117">
        <v>9129601</v>
      </c>
      <c r="P117">
        <v>33665</v>
      </c>
      <c r="Q117">
        <v>3.6875</v>
      </c>
      <c r="R117">
        <v>18000</v>
      </c>
      <c r="S117">
        <v>1.9716</v>
      </c>
      <c r="T117">
        <v>360</v>
      </c>
      <c r="U117">
        <v>3.9399999999999998E-2</v>
      </c>
      <c r="V117">
        <v>842137</v>
      </c>
      <c r="W117">
        <v>92.242500000000007</v>
      </c>
      <c r="X117">
        <v>864405</v>
      </c>
      <c r="Y117">
        <v>94.681600000000003</v>
      </c>
      <c r="Z117">
        <v>120000</v>
      </c>
      <c r="AA117">
        <v>29</v>
      </c>
      <c r="AB117" s="2">
        <v>32926</v>
      </c>
      <c r="AC117" s="2">
        <v>4093</v>
      </c>
      <c r="AD117" s="2">
        <v>10455799</v>
      </c>
      <c r="AE117" s="2">
        <v>49629</v>
      </c>
      <c r="AF117" s="2">
        <v>4610</v>
      </c>
      <c r="AG117" s="2">
        <v>2531350</v>
      </c>
      <c r="AH117" s="2">
        <v>10539</v>
      </c>
      <c r="AI117" s="2">
        <v>6541</v>
      </c>
      <c r="AJ117" s="2">
        <v>4712041</v>
      </c>
      <c r="AK117">
        <v>0</v>
      </c>
      <c r="AL117" s="2">
        <v>0</v>
      </c>
      <c r="AM117">
        <v>0</v>
      </c>
      <c r="AN117">
        <v>0</v>
      </c>
      <c r="AO117">
        <v>695.16</v>
      </c>
      <c r="AP117">
        <v>17388.72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5</v>
      </c>
      <c r="BC117">
        <v>5</v>
      </c>
      <c r="BD117">
        <v>250</v>
      </c>
      <c r="BE117">
        <v>7920</v>
      </c>
      <c r="BF117">
        <v>60</v>
      </c>
      <c r="BG117">
        <v>20</v>
      </c>
      <c r="BH117" s="2">
        <v>20</v>
      </c>
      <c r="BI117" t="b">
        <v>1</v>
      </c>
      <c r="BJ117">
        <v>3</v>
      </c>
      <c r="BK117">
        <v>0</v>
      </c>
      <c r="BM117" t="b">
        <v>1</v>
      </c>
      <c r="BN117" t="b">
        <v>0</v>
      </c>
      <c r="BO117">
        <v>7</v>
      </c>
      <c r="BP117" s="2">
        <v>450000</v>
      </c>
      <c r="BQ117" t="s">
        <v>189</v>
      </c>
      <c r="BR117">
        <v>244316</v>
      </c>
      <c r="BS117" t="b">
        <v>0</v>
      </c>
      <c r="BT117" t="b">
        <v>0</v>
      </c>
      <c r="BU117">
        <v>60</v>
      </c>
      <c r="BV117" t="s">
        <v>39</v>
      </c>
      <c r="BW117">
        <v>0</v>
      </c>
      <c r="BX117" t="s">
        <v>190</v>
      </c>
      <c r="BY117" t="b">
        <v>0</v>
      </c>
      <c r="CA117" t="s">
        <v>165</v>
      </c>
      <c r="CB117" t="b">
        <v>0</v>
      </c>
    </row>
    <row r="118" spans="13:80" x14ac:dyDescent="0.2">
      <c r="M118" t="s">
        <v>40</v>
      </c>
      <c r="N118" s="1">
        <v>44175.641238425924</v>
      </c>
      <c r="O118">
        <v>10903704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120000</v>
      </c>
      <c r="AA118">
        <v>107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>
        <v>0</v>
      </c>
      <c r="AL118" s="2">
        <v>0</v>
      </c>
      <c r="AM118">
        <v>0</v>
      </c>
      <c r="AN118">
        <v>0</v>
      </c>
      <c r="AO118">
        <v>0</v>
      </c>
      <c r="AP118">
        <v>0</v>
      </c>
      <c r="AQ118">
        <v>100</v>
      </c>
      <c r="AR118">
        <v>431</v>
      </c>
      <c r="AS118">
        <v>3.95E-2</v>
      </c>
      <c r="AT118">
        <v>178581</v>
      </c>
      <c r="AU118">
        <v>16.378</v>
      </c>
      <c r="AV118">
        <v>36150</v>
      </c>
      <c r="AW118">
        <v>3.3153999999999999</v>
      </c>
      <c r="AX118">
        <v>162906</v>
      </c>
      <c r="AY118">
        <v>4472</v>
      </c>
      <c r="AZ118">
        <v>59145086</v>
      </c>
      <c r="BA118">
        <v>3088</v>
      </c>
      <c r="BB118">
        <v>1</v>
      </c>
      <c r="BC118">
        <v>10</v>
      </c>
      <c r="BD118">
        <v>-1</v>
      </c>
      <c r="BE118">
        <v>-1</v>
      </c>
      <c r="BF118">
        <v>60</v>
      </c>
      <c r="BG118">
        <v>20</v>
      </c>
      <c r="BH118" s="2">
        <v>20</v>
      </c>
      <c r="BI118" t="b">
        <v>1</v>
      </c>
      <c r="BJ118">
        <v>3</v>
      </c>
      <c r="BK118">
        <v>0</v>
      </c>
      <c r="BM118" t="b">
        <v>1</v>
      </c>
      <c r="BN118" t="b">
        <v>0</v>
      </c>
      <c r="BO118">
        <v>1</v>
      </c>
      <c r="BP118" s="2">
        <v>-1</v>
      </c>
      <c r="BQ118" t="s">
        <v>189</v>
      </c>
      <c r="BR118">
        <v>244316</v>
      </c>
      <c r="BS118" t="b">
        <v>0</v>
      </c>
      <c r="BT118" t="b">
        <v>1</v>
      </c>
      <c r="BU118">
        <v>60</v>
      </c>
      <c r="BV118" t="s">
        <v>39</v>
      </c>
      <c r="BW118">
        <v>0</v>
      </c>
      <c r="BX118" t="s">
        <v>166</v>
      </c>
      <c r="BY118" t="b">
        <v>0</v>
      </c>
      <c r="BZ118" t="s">
        <v>216</v>
      </c>
      <c r="CA118" t="s">
        <v>213</v>
      </c>
      <c r="CB118" t="b">
        <v>1</v>
      </c>
    </row>
    <row r="119" spans="13:80" x14ac:dyDescent="0.2">
      <c r="M119" t="s">
        <v>40</v>
      </c>
      <c r="N119" s="1">
        <v>44175.661863425928</v>
      </c>
      <c r="O119">
        <v>9129601</v>
      </c>
      <c r="P119">
        <v>33213</v>
      </c>
      <c r="Q119">
        <v>3.6379000000000001</v>
      </c>
      <c r="R119">
        <v>17982</v>
      </c>
      <c r="S119">
        <v>1.9696</v>
      </c>
      <c r="T119">
        <v>360</v>
      </c>
      <c r="U119">
        <v>3.9399999999999998E-2</v>
      </c>
      <c r="V119">
        <v>552014</v>
      </c>
      <c r="W119">
        <v>60.464199999999998</v>
      </c>
      <c r="X119">
        <v>567281</v>
      </c>
      <c r="Y119">
        <v>62.136400000000002</v>
      </c>
      <c r="Z119">
        <v>120000</v>
      </c>
      <c r="AA119">
        <v>17</v>
      </c>
      <c r="AB119" s="2">
        <v>50432</v>
      </c>
      <c r="AC119" s="2">
        <v>5506</v>
      </c>
      <c r="AD119" s="2">
        <v>16235967</v>
      </c>
      <c r="AE119" s="2">
        <v>52916</v>
      </c>
      <c r="AF119" s="2">
        <v>6322</v>
      </c>
      <c r="AG119" s="2">
        <v>4435945</v>
      </c>
      <c r="AH119" s="2">
        <v>16059</v>
      </c>
      <c r="AI119" s="2">
        <v>8284</v>
      </c>
      <c r="AJ119" s="2">
        <v>5709108</v>
      </c>
      <c r="AK119">
        <v>0</v>
      </c>
      <c r="AL119" s="2">
        <v>0</v>
      </c>
      <c r="AM119">
        <v>0</v>
      </c>
      <c r="AN119">
        <v>0</v>
      </c>
      <c r="AO119">
        <v>678.55</v>
      </c>
      <c r="AP119">
        <v>11277.29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5</v>
      </c>
      <c r="BC119">
        <v>5</v>
      </c>
      <c r="BD119">
        <v>250</v>
      </c>
      <c r="BE119">
        <v>7920</v>
      </c>
      <c r="BF119">
        <v>60</v>
      </c>
      <c r="BG119">
        <v>20</v>
      </c>
      <c r="BH119" s="2">
        <v>20</v>
      </c>
      <c r="BI119" t="b">
        <v>1</v>
      </c>
      <c r="BJ119">
        <v>3</v>
      </c>
      <c r="BK119">
        <v>0</v>
      </c>
      <c r="BM119" t="b">
        <v>1</v>
      </c>
      <c r="BN119" t="b">
        <v>0</v>
      </c>
      <c r="BO119">
        <v>7</v>
      </c>
      <c r="BP119" s="2">
        <v>450000</v>
      </c>
      <c r="BQ119" t="s">
        <v>189</v>
      </c>
      <c r="BR119">
        <v>244316</v>
      </c>
      <c r="BS119" t="b">
        <v>0</v>
      </c>
      <c r="BT119" t="b">
        <v>0</v>
      </c>
      <c r="BU119">
        <v>60</v>
      </c>
      <c r="BV119" t="s">
        <v>39</v>
      </c>
      <c r="BW119">
        <v>0</v>
      </c>
      <c r="BX119" t="s">
        <v>190</v>
      </c>
      <c r="BY119" t="b">
        <v>0</v>
      </c>
      <c r="CA119" t="s">
        <v>165</v>
      </c>
      <c r="CB119" t="b">
        <v>0</v>
      </c>
    </row>
    <row r="120" spans="13:80" x14ac:dyDescent="0.2">
      <c r="M120" t="s">
        <v>40</v>
      </c>
      <c r="N120" s="1">
        <v>44175.641250000001</v>
      </c>
      <c r="O120">
        <v>10903269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120000</v>
      </c>
      <c r="AA120">
        <v>109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>
        <v>0</v>
      </c>
      <c r="AL120" s="2">
        <v>0</v>
      </c>
      <c r="AM120">
        <v>0</v>
      </c>
      <c r="AN120">
        <v>0</v>
      </c>
      <c r="AO120">
        <v>0</v>
      </c>
      <c r="AP120">
        <v>0</v>
      </c>
      <c r="AQ120">
        <v>100</v>
      </c>
      <c r="AR120">
        <v>509</v>
      </c>
      <c r="AS120">
        <v>4.6699999999999998E-2</v>
      </c>
      <c r="AT120">
        <v>174827</v>
      </c>
      <c r="AU120">
        <v>16.034400000000002</v>
      </c>
      <c r="AV120">
        <v>36137</v>
      </c>
      <c r="AW120">
        <v>3.3142999999999998</v>
      </c>
      <c r="AX120">
        <v>210215</v>
      </c>
      <c r="AY120">
        <v>5351</v>
      </c>
      <c r="AZ120">
        <v>59783374</v>
      </c>
      <c r="BA120">
        <v>2991.57</v>
      </c>
      <c r="BB120">
        <v>1</v>
      </c>
      <c r="BC120">
        <v>10</v>
      </c>
      <c r="BD120">
        <v>-1</v>
      </c>
      <c r="BE120">
        <v>-1</v>
      </c>
      <c r="BF120">
        <v>60</v>
      </c>
      <c r="BG120">
        <v>20</v>
      </c>
      <c r="BH120" s="2">
        <v>20</v>
      </c>
      <c r="BI120" t="b">
        <v>1</v>
      </c>
      <c r="BJ120">
        <v>3</v>
      </c>
      <c r="BK120">
        <v>0</v>
      </c>
      <c r="BM120" t="b">
        <v>1</v>
      </c>
      <c r="BN120" t="b">
        <v>0</v>
      </c>
      <c r="BO120">
        <v>1</v>
      </c>
      <c r="BP120" s="2">
        <v>-1</v>
      </c>
      <c r="BQ120" t="s">
        <v>189</v>
      </c>
      <c r="BR120">
        <v>244316</v>
      </c>
      <c r="BS120" t="b">
        <v>0</v>
      </c>
      <c r="BT120" t="b">
        <v>1</v>
      </c>
      <c r="BU120">
        <v>60</v>
      </c>
      <c r="BV120" t="s">
        <v>39</v>
      </c>
      <c r="BW120">
        <v>0</v>
      </c>
      <c r="BX120" t="s">
        <v>166</v>
      </c>
      <c r="BY120" t="b">
        <v>0</v>
      </c>
      <c r="BZ120" t="s">
        <v>216</v>
      </c>
      <c r="CA120" t="s">
        <v>213</v>
      </c>
      <c r="CB120" t="b">
        <v>1</v>
      </c>
    </row>
    <row r="121" spans="13:80" x14ac:dyDescent="0.2">
      <c r="M121" t="s">
        <v>40</v>
      </c>
      <c r="N121" s="1">
        <v>44175.661863425928</v>
      </c>
      <c r="O121">
        <v>9129601</v>
      </c>
      <c r="P121">
        <v>33183</v>
      </c>
      <c r="Q121">
        <v>3.6347</v>
      </c>
      <c r="R121">
        <v>11462</v>
      </c>
      <c r="S121">
        <v>1.2555000000000001</v>
      </c>
      <c r="T121">
        <v>360</v>
      </c>
      <c r="U121">
        <v>3.9399999999999998E-2</v>
      </c>
      <c r="V121">
        <v>319908</v>
      </c>
      <c r="W121">
        <v>35.040700000000001</v>
      </c>
      <c r="X121">
        <v>529496</v>
      </c>
      <c r="Y121">
        <v>57.997700000000002</v>
      </c>
      <c r="Z121">
        <v>120000</v>
      </c>
      <c r="AA121">
        <v>57</v>
      </c>
      <c r="AB121" s="2">
        <v>47543</v>
      </c>
      <c r="AC121" s="2">
        <v>5253</v>
      </c>
      <c r="AD121" s="2">
        <v>16198656</v>
      </c>
      <c r="AE121" s="2">
        <v>61029</v>
      </c>
      <c r="AF121" s="2">
        <v>5844</v>
      </c>
      <c r="AG121" s="2">
        <v>5328864</v>
      </c>
      <c r="AH121" s="2">
        <v>17209</v>
      </c>
      <c r="AI121" s="2">
        <v>6883</v>
      </c>
      <c r="AJ121" s="2">
        <v>21875382</v>
      </c>
      <c r="AK121">
        <v>0</v>
      </c>
      <c r="AL121" s="2">
        <v>0</v>
      </c>
      <c r="AM121">
        <v>0</v>
      </c>
      <c r="AN121">
        <v>0</v>
      </c>
      <c r="AO121">
        <v>685.14</v>
      </c>
      <c r="AP121">
        <v>6604.41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5</v>
      </c>
      <c r="BC121">
        <v>5</v>
      </c>
      <c r="BD121">
        <v>250</v>
      </c>
      <c r="BE121">
        <v>7920</v>
      </c>
      <c r="BF121">
        <v>60</v>
      </c>
      <c r="BG121">
        <v>20</v>
      </c>
      <c r="BH121" s="2">
        <v>20</v>
      </c>
      <c r="BI121" t="b">
        <v>1</v>
      </c>
      <c r="BJ121">
        <v>3</v>
      </c>
      <c r="BK121">
        <v>0</v>
      </c>
      <c r="BM121" t="b">
        <v>1</v>
      </c>
      <c r="BN121" t="b">
        <v>0</v>
      </c>
      <c r="BO121">
        <v>7</v>
      </c>
      <c r="BP121" s="2">
        <v>450000</v>
      </c>
      <c r="BQ121" t="s">
        <v>189</v>
      </c>
      <c r="BR121">
        <v>244316</v>
      </c>
      <c r="BS121" t="b">
        <v>0</v>
      </c>
      <c r="BT121" t="b">
        <v>0</v>
      </c>
      <c r="BU121">
        <v>60</v>
      </c>
      <c r="BV121" t="s">
        <v>39</v>
      </c>
      <c r="BW121">
        <v>0</v>
      </c>
      <c r="BX121" t="s">
        <v>190</v>
      </c>
      <c r="BY121" t="b">
        <v>0</v>
      </c>
      <c r="CA121" t="s">
        <v>165</v>
      </c>
      <c r="CB121" t="b">
        <v>0</v>
      </c>
    </row>
    <row r="122" spans="13:80" x14ac:dyDescent="0.2">
      <c r="M122" t="s">
        <v>40</v>
      </c>
      <c r="N122" s="1">
        <v>44175.641250000001</v>
      </c>
      <c r="O122">
        <v>10903198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120000</v>
      </c>
      <c r="AA122">
        <v>84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>
        <v>0</v>
      </c>
      <c r="AL122" s="2">
        <v>0</v>
      </c>
      <c r="AM122">
        <v>0</v>
      </c>
      <c r="AN122">
        <v>0</v>
      </c>
      <c r="AO122">
        <v>0</v>
      </c>
      <c r="AP122">
        <v>0</v>
      </c>
      <c r="AQ122">
        <v>100</v>
      </c>
      <c r="AR122">
        <v>415</v>
      </c>
      <c r="AS122">
        <v>3.8100000000000002E-2</v>
      </c>
      <c r="AT122">
        <v>103095</v>
      </c>
      <c r="AU122">
        <v>9.4555000000000007</v>
      </c>
      <c r="AV122">
        <v>36164</v>
      </c>
      <c r="AW122">
        <v>3.3168000000000002</v>
      </c>
      <c r="AX122">
        <v>274824</v>
      </c>
      <c r="AY122">
        <v>4948</v>
      </c>
      <c r="AZ122">
        <v>59760262</v>
      </c>
      <c r="BA122">
        <v>1782.94</v>
      </c>
      <c r="BB122">
        <v>1</v>
      </c>
      <c r="BC122">
        <v>10</v>
      </c>
      <c r="BD122">
        <v>-1</v>
      </c>
      <c r="BE122">
        <v>-1</v>
      </c>
      <c r="BF122">
        <v>60</v>
      </c>
      <c r="BG122">
        <v>20</v>
      </c>
      <c r="BH122" s="2">
        <v>20</v>
      </c>
      <c r="BI122" t="b">
        <v>1</v>
      </c>
      <c r="BJ122">
        <v>3</v>
      </c>
      <c r="BK122">
        <v>0</v>
      </c>
      <c r="BM122" t="b">
        <v>1</v>
      </c>
      <c r="BN122" t="b">
        <v>0</v>
      </c>
      <c r="BO122">
        <v>1</v>
      </c>
      <c r="BP122" s="2">
        <v>-1</v>
      </c>
      <c r="BQ122" t="s">
        <v>189</v>
      </c>
      <c r="BR122">
        <v>244316</v>
      </c>
      <c r="BS122" t="b">
        <v>0</v>
      </c>
      <c r="BT122" t="b">
        <v>1</v>
      </c>
      <c r="BU122">
        <v>60</v>
      </c>
      <c r="BV122" t="s">
        <v>39</v>
      </c>
      <c r="BW122">
        <v>0</v>
      </c>
      <c r="BX122" t="s">
        <v>166</v>
      </c>
      <c r="BY122" t="b">
        <v>0</v>
      </c>
      <c r="BZ122" t="s">
        <v>216</v>
      </c>
      <c r="CA122" t="s">
        <v>213</v>
      </c>
      <c r="CB122" t="b">
        <v>1</v>
      </c>
    </row>
    <row r="123" spans="13:80" x14ac:dyDescent="0.2">
      <c r="M123" t="s">
        <v>40</v>
      </c>
      <c r="N123" s="1">
        <v>44175.661805555559</v>
      </c>
      <c r="O123">
        <v>9129601</v>
      </c>
      <c r="P123">
        <v>33140</v>
      </c>
      <c r="Q123">
        <v>3.63</v>
      </c>
      <c r="R123">
        <v>11404</v>
      </c>
      <c r="S123">
        <v>1.2491000000000001</v>
      </c>
      <c r="T123">
        <v>360</v>
      </c>
      <c r="U123">
        <v>3.9399999999999998E-2</v>
      </c>
      <c r="V123">
        <v>320044</v>
      </c>
      <c r="W123">
        <v>35.055599999999998</v>
      </c>
      <c r="X123">
        <v>528846</v>
      </c>
      <c r="Y123">
        <v>57.926499999999997</v>
      </c>
      <c r="Z123">
        <v>120000</v>
      </c>
      <c r="AA123">
        <v>91</v>
      </c>
      <c r="AB123" s="2">
        <v>60042</v>
      </c>
      <c r="AC123" s="2">
        <v>5243</v>
      </c>
      <c r="AD123" s="2">
        <v>16037413</v>
      </c>
      <c r="AE123" s="2">
        <v>71889</v>
      </c>
      <c r="AF123" s="2">
        <v>5581</v>
      </c>
      <c r="AG123" s="2">
        <v>5872674</v>
      </c>
      <c r="AH123" s="2">
        <v>17244</v>
      </c>
      <c r="AI123" s="2">
        <v>6638</v>
      </c>
      <c r="AJ123" s="2">
        <v>21864911</v>
      </c>
      <c r="AK123">
        <v>0</v>
      </c>
      <c r="AL123" s="2">
        <v>0</v>
      </c>
      <c r="AM123">
        <v>0</v>
      </c>
      <c r="AN123">
        <v>0</v>
      </c>
      <c r="AO123">
        <v>680.64</v>
      </c>
      <c r="AP123">
        <v>6574.07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5</v>
      </c>
      <c r="BC123">
        <v>5</v>
      </c>
      <c r="BD123">
        <v>250</v>
      </c>
      <c r="BE123">
        <v>7920</v>
      </c>
      <c r="BF123">
        <v>60</v>
      </c>
      <c r="BG123">
        <v>20</v>
      </c>
      <c r="BH123" s="2">
        <v>20</v>
      </c>
      <c r="BI123" t="b">
        <v>1</v>
      </c>
      <c r="BJ123">
        <v>3</v>
      </c>
      <c r="BK123">
        <v>0</v>
      </c>
      <c r="BM123" t="b">
        <v>1</v>
      </c>
      <c r="BN123" t="b">
        <v>0</v>
      </c>
      <c r="BO123">
        <v>7</v>
      </c>
      <c r="BP123" s="2">
        <v>450000</v>
      </c>
      <c r="BQ123" t="s">
        <v>189</v>
      </c>
      <c r="BR123">
        <v>244316</v>
      </c>
      <c r="BS123" t="b">
        <v>0</v>
      </c>
      <c r="BT123" t="b">
        <v>0</v>
      </c>
      <c r="BU123">
        <v>60</v>
      </c>
      <c r="BV123" t="s">
        <v>39</v>
      </c>
      <c r="BW123">
        <v>0</v>
      </c>
      <c r="BX123" t="s">
        <v>190</v>
      </c>
      <c r="BY123" t="b">
        <v>0</v>
      </c>
      <c r="CA123" t="s">
        <v>165</v>
      </c>
      <c r="CB123" t="b">
        <v>0</v>
      </c>
    </row>
    <row r="124" spans="13:80" x14ac:dyDescent="0.2">
      <c r="M124" t="s">
        <v>40</v>
      </c>
      <c r="N124" s="1">
        <v>44175.641238425924</v>
      </c>
      <c r="O124">
        <v>10903474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120000</v>
      </c>
      <c r="AA124">
        <v>132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>
        <v>0</v>
      </c>
      <c r="AL124" s="2">
        <v>0</v>
      </c>
      <c r="AM124">
        <v>0</v>
      </c>
      <c r="AN124">
        <v>0</v>
      </c>
      <c r="AO124">
        <v>0</v>
      </c>
      <c r="AP124">
        <v>0</v>
      </c>
      <c r="AQ124">
        <v>100</v>
      </c>
      <c r="AR124">
        <v>484</v>
      </c>
      <c r="AS124">
        <v>4.4400000000000002E-2</v>
      </c>
      <c r="AT124">
        <v>105927</v>
      </c>
      <c r="AU124">
        <v>9.7149999999999999</v>
      </c>
      <c r="AV124">
        <v>36101</v>
      </c>
      <c r="AW124">
        <v>3.3109999999999999</v>
      </c>
      <c r="AX124">
        <v>200924</v>
      </c>
      <c r="AY124">
        <v>3906</v>
      </c>
      <c r="AZ124">
        <v>58447233</v>
      </c>
      <c r="BA124">
        <v>1823.88</v>
      </c>
      <c r="BB124">
        <v>1</v>
      </c>
      <c r="BC124">
        <v>10</v>
      </c>
      <c r="BD124">
        <v>-1</v>
      </c>
      <c r="BE124">
        <v>-1</v>
      </c>
      <c r="BF124">
        <v>60</v>
      </c>
      <c r="BG124">
        <v>20</v>
      </c>
      <c r="BH124" s="2">
        <v>20</v>
      </c>
      <c r="BI124" t="b">
        <v>1</v>
      </c>
      <c r="BJ124">
        <v>3</v>
      </c>
      <c r="BK124">
        <v>0</v>
      </c>
      <c r="BM124" t="b">
        <v>1</v>
      </c>
      <c r="BN124" t="b">
        <v>0</v>
      </c>
      <c r="BO124">
        <v>1</v>
      </c>
      <c r="BP124" s="2">
        <v>-1</v>
      </c>
      <c r="BQ124" t="s">
        <v>189</v>
      </c>
      <c r="BR124">
        <v>244316</v>
      </c>
      <c r="BS124" t="b">
        <v>0</v>
      </c>
      <c r="BT124" t="b">
        <v>1</v>
      </c>
      <c r="BU124">
        <v>60</v>
      </c>
      <c r="BV124" t="s">
        <v>39</v>
      </c>
      <c r="BW124">
        <v>0</v>
      </c>
      <c r="BX124" t="s">
        <v>166</v>
      </c>
      <c r="BY124" t="b">
        <v>0</v>
      </c>
      <c r="BZ124" t="s">
        <v>216</v>
      </c>
      <c r="CA124" t="s">
        <v>213</v>
      </c>
      <c r="CB124" t="b">
        <v>1</v>
      </c>
    </row>
    <row r="125" spans="13:80" x14ac:dyDescent="0.2">
      <c r="M125" t="s">
        <v>40</v>
      </c>
      <c r="N125" s="1">
        <v>44175.661805555559</v>
      </c>
      <c r="O125">
        <v>9129601</v>
      </c>
      <c r="P125">
        <v>33636</v>
      </c>
      <c r="Q125">
        <v>3.6842999999999999</v>
      </c>
      <c r="R125">
        <v>17744</v>
      </c>
      <c r="S125">
        <v>1.9436</v>
      </c>
      <c r="T125">
        <v>360</v>
      </c>
      <c r="U125">
        <v>3.9399999999999998E-2</v>
      </c>
      <c r="V125">
        <v>494485</v>
      </c>
      <c r="W125">
        <v>54.162799999999997</v>
      </c>
      <c r="X125">
        <v>513432</v>
      </c>
      <c r="Y125">
        <v>56.238199999999999</v>
      </c>
      <c r="Z125">
        <v>120000</v>
      </c>
      <c r="AA125">
        <v>61</v>
      </c>
      <c r="AB125" s="2">
        <v>34434</v>
      </c>
      <c r="AC125" s="2">
        <v>3850</v>
      </c>
      <c r="AD125" s="2">
        <v>11899046</v>
      </c>
      <c r="AE125" s="2">
        <v>43406</v>
      </c>
      <c r="AF125" s="2">
        <v>4726</v>
      </c>
      <c r="AG125" s="2">
        <v>2758236</v>
      </c>
      <c r="AH125" s="2">
        <v>17756</v>
      </c>
      <c r="AI125" s="2">
        <v>7017</v>
      </c>
      <c r="AJ125" s="2">
        <v>21863973</v>
      </c>
      <c r="AK125">
        <v>0</v>
      </c>
      <c r="AL125" s="2">
        <v>0</v>
      </c>
      <c r="AM125">
        <v>0</v>
      </c>
      <c r="AN125">
        <v>0</v>
      </c>
      <c r="AO125">
        <v>694.25</v>
      </c>
      <c r="AP125">
        <v>10208.49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5</v>
      </c>
      <c r="BC125">
        <v>5</v>
      </c>
      <c r="BD125">
        <v>250</v>
      </c>
      <c r="BE125">
        <v>7920</v>
      </c>
      <c r="BF125">
        <v>60</v>
      </c>
      <c r="BG125">
        <v>20</v>
      </c>
      <c r="BH125" s="2">
        <v>20</v>
      </c>
      <c r="BI125" t="b">
        <v>1</v>
      </c>
      <c r="BJ125">
        <v>3</v>
      </c>
      <c r="BK125">
        <v>0</v>
      </c>
      <c r="BM125" t="b">
        <v>1</v>
      </c>
      <c r="BN125" t="b">
        <v>0</v>
      </c>
      <c r="BO125">
        <v>7</v>
      </c>
      <c r="BP125" s="2">
        <v>450000</v>
      </c>
      <c r="BQ125" t="s">
        <v>189</v>
      </c>
      <c r="BR125">
        <v>244316</v>
      </c>
      <c r="BS125" t="b">
        <v>0</v>
      </c>
      <c r="BT125" t="b">
        <v>0</v>
      </c>
      <c r="BU125">
        <v>60</v>
      </c>
      <c r="BV125" t="s">
        <v>39</v>
      </c>
      <c r="BW125">
        <v>0</v>
      </c>
      <c r="BX125" t="s">
        <v>190</v>
      </c>
      <c r="BY125" t="b">
        <v>0</v>
      </c>
      <c r="CA125" t="s">
        <v>165</v>
      </c>
      <c r="CB125" t="b">
        <v>0</v>
      </c>
    </row>
    <row r="126" spans="13:80" x14ac:dyDescent="0.2">
      <c r="M126" t="s">
        <v>40</v>
      </c>
      <c r="N126" s="1">
        <v>44175.641238425924</v>
      </c>
      <c r="O126">
        <v>10903722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120000</v>
      </c>
      <c r="AA126">
        <v>105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>
        <v>0</v>
      </c>
      <c r="AL126" s="2">
        <v>0</v>
      </c>
      <c r="AM126">
        <v>0</v>
      </c>
      <c r="AN126">
        <v>0</v>
      </c>
      <c r="AO126">
        <v>0</v>
      </c>
      <c r="AP126">
        <v>0</v>
      </c>
      <c r="AQ126">
        <v>100</v>
      </c>
      <c r="AR126">
        <v>472</v>
      </c>
      <c r="AS126">
        <v>4.3299999999999998E-2</v>
      </c>
      <c r="AT126">
        <v>172896</v>
      </c>
      <c r="AU126">
        <v>15.8566</v>
      </c>
      <c r="AV126">
        <v>36146</v>
      </c>
      <c r="AW126">
        <v>3.3149999999999999</v>
      </c>
      <c r="AX126">
        <v>169251</v>
      </c>
      <c r="AY126">
        <v>4479</v>
      </c>
      <c r="AZ126">
        <v>59166418</v>
      </c>
      <c r="BA126">
        <v>2989.72</v>
      </c>
      <c r="BB126">
        <v>1</v>
      </c>
      <c r="BC126">
        <v>10</v>
      </c>
      <c r="BD126">
        <v>-1</v>
      </c>
      <c r="BE126">
        <v>-1</v>
      </c>
      <c r="BF126">
        <v>60</v>
      </c>
      <c r="BG126">
        <v>20</v>
      </c>
      <c r="BH126" s="2">
        <v>20</v>
      </c>
      <c r="BI126" t="b">
        <v>1</v>
      </c>
      <c r="BJ126">
        <v>3</v>
      </c>
      <c r="BK126">
        <v>0</v>
      </c>
      <c r="BM126" t="b">
        <v>1</v>
      </c>
      <c r="BN126" t="b">
        <v>0</v>
      </c>
      <c r="BO126">
        <v>1</v>
      </c>
      <c r="BP126" s="2">
        <v>-1</v>
      </c>
      <c r="BQ126" t="s">
        <v>189</v>
      </c>
      <c r="BR126">
        <v>244316</v>
      </c>
      <c r="BS126" t="b">
        <v>0</v>
      </c>
      <c r="BT126" t="b">
        <v>1</v>
      </c>
      <c r="BU126">
        <v>60</v>
      </c>
      <c r="BV126" t="s">
        <v>39</v>
      </c>
      <c r="BW126">
        <v>0</v>
      </c>
      <c r="BX126" t="s">
        <v>166</v>
      </c>
      <c r="BY126" t="b">
        <v>0</v>
      </c>
      <c r="BZ126" t="s">
        <v>216</v>
      </c>
      <c r="CA126" t="s">
        <v>213</v>
      </c>
      <c r="CB126" t="b">
        <v>1</v>
      </c>
    </row>
    <row r="127" spans="13:80" x14ac:dyDescent="0.2">
      <c r="M127" t="s">
        <v>40</v>
      </c>
      <c r="N127" s="1">
        <v>44175.661863425928</v>
      </c>
      <c r="O127">
        <v>9129601</v>
      </c>
      <c r="P127">
        <v>33674</v>
      </c>
      <c r="Q127">
        <v>3.6884000000000001</v>
      </c>
      <c r="R127">
        <v>17933</v>
      </c>
      <c r="S127">
        <v>1.9642999999999999</v>
      </c>
      <c r="T127">
        <v>360</v>
      </c>
      <c r="U127">
        <v>3.9399999999999998E-2</v>
      </c>
      <c r="V127">
        <v>499410</v>
      </c>
      <c r="W127">
        <v>54.702300000000001</v>
      </c>
      <c r="X127">
        <v>514140</v>
      </c>
      <c r="Y127">
        <v>56.3157</v>
      </c>
      <c r="Z127">
        <v>120000</v>
      </c>
      <c r="AA127">
        <v>33</v>
      </c>
      <c r="AB127" s="2">
        <v>27909</v>
      </c>
      <c r="AC127" s="2">
        <v>5513</v>
      </c>
      <c r="AD127" s="2">
        <v>12842124</v>
      </c>
      <c r="AE127" s="2">
        <v>38255</v>
      </c>
      <c r="AF127" s="2">
        <v>6151</v>
      </c>
      <c r="AG127" s="2">
        <v>2444991</v>
      </c>
      <c r="AH127" s="2">
        <v>17719</v>
      </c>
      <c r="AI127" s="2">
        <v>7201</v>
      </c>
      <c r="AJ127" s="2">
        <v>21850597</v>
      </c>
      <c r="AK127">
        <v>0</v>
      </c>
      <c r="AL127" s="2">
        <v>0</v>
      </c>
      <c r="AM127">
        <v>0</v>
      </c>
      <c r="AN127">
        <v>0</v>
      </c>
      <c r="AO127">
        <v>691.78</v>
      </c>
      <c r="AP127">
        <v>10257.81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</v>
      </c>
      <c r="BC127">
        <v>5</v>
      </c>
      <c r="BD127">
        <v>250</v>
      </c>
      <c r="BE127">
        <v>7920</v>
      </c>
      <c r="BF127">
        <v>60</v>
      </c>
      <c r="BG127">
        <v>20</v>
      </c>
      <c r="BH127" s="2">
        <v>20</v>
      </c>
      <c r="BI127" t="b">
        <v>1</v>
      </c>
      <c r="BJ127">
        <v>3</v>
      </c>
      <c r="BK127">
        <v>0</v>
      </c>
      <c r="BM127" t="b">
        <v>1</v>
      </c>
      <c r="BN127" t="b">
        <v>0</v>
      </c>
      <c r="BO127">
        <v>7</v>
      </c>
      <c r="BP127" s="2">
        <v>450000</v>
      </c>
      <c r="BQ127" t="s">
        <v>189</v>
      </c>
      <c r="BR127">
        <v>244316</v>
      </c>
      <c r="BS127" t="b">
        <v>0</v>
      </c>
      <c r="BT127" t="b">
        <v>0</v>
      </c>
      <c r="BU127">
        <v>60</v>
      </c>
      <c r="BV127" t="s">
        <v>39</v>
      </c>
      <c r="BW127">
        <v>0</v>
      </c>
      <c r="BX127" t="s">
        <v>190</v>
      </c>
      <c r="BY127" t="b">
        <v>0</v>
      </c>
      <c r="CA127" t="s">
        <v>165</v>
      </c>
      <c r="CB127" t="b">
        <v>0</v>
      </c>
    </row>
    <row r="128" spans="13:80" x14ac:dyDescent="0.2">
      <c r="M128" t="s">
        <v>40</v>
      </c>
      <c r="N128" s="1">
        <v>44175.641250000001</v>
      </c>
      <c r="O128">
        <v>10903398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120000</v>
      </c>
      <c r="AA128">
        <v>129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>
        <v>0</v>
      </c>
      <c r="AL128" s="2">
        <v>0</v>
      </c>
      <c r="AM128">
        <v>0</v>
      </c>
      <c r="AN128">
        <v>0</v>
      </c>
      <c r="AO128">
        <v>0</v>
      </c>
      <c r="AP128">
        <v>0</v>
      </c>
      <c r="AQ128">
        <v>100</v>
      </c>
      <c r="AR128">
        <v>512</v>
      </c>
      <c r="AS128">
        <v>4.7E-2</v>
      </c>
      <c r="AT128">
        <v>173571</v>
      </c>
      <c r="AU128">
        <v>15.919</v>
      </c>
      <c r="AV128">
        <v>36108</v>
      </c>
      <c r="AW128">
        <v>3.3115999999999999</v>
      </c>
      <c r="AX128">
        <v>142041</v>
      </c>
      <c r="AY128">
        <v>5249</v>
      </c>
      <c r="AZ128">
        <v>50347276</v>
      </c>
      <c r="BA128">
        <v>2983.63</v>
      </c>
      <c r="BB128">
        <v>1</v>
      </c>
      <c r="BC128">
        <v>10</v>
      </c>
      <c r="BD128">
        <v>-1</v>
      </c>
      <c r="BE128">
        <v>-1</v>
      </c>
      <c r="BF128">
        <v>60</v>
      </c>
      <c r="BG128">
        <v>20</v>
      </c>
      <c r="BH128" s="2">
        <v>20</v>
      </c>
      <c r="BI128" t="b">
        <v>1</v>
      </c>
      <c r="BJ128">
        <v>3</v>
      </c>
      <c r="BK128">
        <v>0</v>
      </c>
      <c r="BM128" t="b">
        <v>1</v>
      </c>
      <c r="BN128" t="b">
        <v>0</v>
      </c>
      <c r="BO128">
        <v>1</v>
      </c>
      <c r="BP128" s="2">
        <v>-1</v>
      </c>
      <c r="BQ128" t="s">
        <v>189</v>
      </c>
      <c r="BR128">
        <v>244316</v>
      </c>
      <c r="BS128" t="b">
        <v>0</v>
      </c>
      <c r="BT128" t="b">
        <v>1</v>
      </c>
      <c r="BU128">
        <v>60</v>
      </c>
      <c r="BV128" t="s">
        <v>39</v>
      </c>
      <c r="BW128">
        <v>0</v>
      </c>
      <c r="BX128" t="s">
        <v>166</v>
      </c>
      <c r="BY128" t="b">
        <v>0</v>
      </c>
      <c r="BZ128" t="s">
        <v>216</v>
      </c>
      <c r="CA128" t="s">
        <v>213</v>
      </c>
      <c r="CB128" t="b">
        <v>1</v>
      </c>
    </row>
    <row r="129" spans="13:80" x14ac:dyDescent="0.2">
      <c r="M129" t="s">
        <v>40</v>
      </c>
      <c r="N129" s="1">
        <v>44175.661805555559</v>
      </c>
      <c r="O129">
        <v>9129601</v>
      </c>
      <c r="P129">
        <v>33690</v>
      </c>
      <c r="Q129">
        <v>3.6901999999999999</v>
      </c>
      <c r="R129">
        <v>18000</v>
      </c>
      <c r="S129">
        <v>1.9716</v>
      </c>
      <c r="T129">
        <v>360</v>
      </c>
      <c r="U129">
        <v>3.9399999999999998E-2</v>
      </c>
      <c r="V129">
        <v>825674</v>
      </c>
      <c r="W129">
        <v>90.4392</v>
      </c>
      <c r="X129">
        <v>848267</v>
      </c>
      <c r="Y129">
        <v>92.913899999999998</v>
      </c>
      <c r="Z129">
        <v>120000</v>
      </c>
      <c r="AA129">
        <v>31</v>
      </c>
      <c r="AB129" s="2">
        <v>25412</v>
      </c>
      <c r="AC129" s="2">
        <v>3736</v>
      </c>
      <c r="AD129" s="2">
        <v>10019311</v>
      </c>
      <c r="AE129" s="2">
        <v>50361</v>
      </c>
      <c r="AF129" s="2">
        <v>4738</v>
      </c>
      <c r="AG129" s="2">
        <v>4224822</v>
      </c>
      <c r="AH129" s="2">
        <v>10745</v>
      </c>
      <c r="AI129" s="2">
        <v>6733</v>
      </c>
      <c r="AJ129" s="2">
        <v>4712153</v>
      </c>
      <c r="AK129">
        <v>0</v>
      </c>
      <c r="AL129" s="2">
        <v>0</v>
      </c>
      <c r="AM129">
        <v>0</v>
      </c>
      <c r="AN129">
        <v>0</v>
      </c>
      <c r="AO129">
        <v>691.93</v>
      </c>
      <c r="AP129">
        <v>16957.52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5</v>
      </c>
      <c r="BC129">
        <v>5</v>
      </c>
      <c r="BD129">
        <v>250</v>
      </c>
      <c r="BE129">
        <v>7920</v>
      </c>
      <c r="BF129">
        <v>60</v>
      </c>
      <c r="BG129">
        <v>20</v>
      </c>
      <c r="BH129" s="2">
        <v>20</v>
      </c>
      <c r="BI129" t="b">
        <v>1</v>
      </c>
      <c r="BJ129">
        <v>3</v>
      </c>
      <c r="BK129">
        <v>0</v>
      </c>
      <c r="BM129" t="b">
        <v>1</v>
      </c>
      <c r="BN129" t="b">
        <v>0</v>
      </c>
      <c r="BO129">
        <v>7</v>
      </c>
      <c r="BP129" s="2">
        <v>450000</v>
      </c>
      <c r="BQ129" t="s">
        <v>189</v>
      </c>
      <c r="BR129">
        <v>244316</v>
      </c>
      <c r="BS129" t="b">
        <v>0</v>
      </c>
      <c r="BT129" t="b">
        <v>0</v>
      </c>
      <c r="BU129">
        <v>60</v>
      </c>
      <c r="BV129" t="s">
        <v>39</v>
      </c>
      <c r="BW129">
        <v>0</v>
      </c>
      <c r="BX129" t="s">
        <v>190</v>
      </c>
      <c r="BY129" t="b">
        <v>0</v>
      </c>
      <c r="CA129" t="s">
        <v>165</v>
      </c>
      <c r="CB129" t="b">
        <v>0</v>
      </c>
    </row>
    <row r="130" spans="13:80" x14ac:dyDescent="0.2">
      <c r="M130" t="s">
        <v>40</v>
      </c>
      <c r="N130" s="1">
        <v>44175.641238425924</v>
      </c>
      <c r="O130">
        <v>10903802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120000</v>
      </c>
      <c r="AA130">
        <v>84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>
        <v>0</v>
      </c>
      <c r="AL130" s="2">
        <v>0</v>
      </c>
      <c r="AM130">
        <v>0</v>
      </c>
      <c r="AN130">
        <v>0</v>
      </c>
      <c r="AO130">
        <v>0</v>
      </c>
      <c r="AP130">
        <v>0</v>
      </c>
      <c r="AQ130">
        <v>100</v>
      </c>
      <c r="AR130">
        <v>435</v>
      </c>
      <c r="AS130">
        <v>3.9899999999999998E-2</v>
      </c>
      <c r="AT130">
        <v>177636</v>
      </c>
      <c r="AU130">
        <v>16.2912</v>
      </c>
      <c r="AV130">
        <v>36159</v>
      </c>
      <c r="AW130">
        <v>3.3161999999999998</v>
      </c>
      <c r="AX130">
        <v>217930</v>
      </c>
      <c r="AY130">
        <v>3513</v>
      </c>
      <c r="AZ130">
        <v>58378215</v>
      </c>
      <c r="BA130">
        <v>3052.1</v>
      </c>
      <c r="BB130">
        <v>1</v>
      </c>
      <c r="BC130">
        <v>10</v>
      </c>
      <c r="BD130">
        <v>-1</v>
      </c>
      <c r="BE130">
        <v>-1</v>
      </c>
      <c r="BF130">
        <v>60</v>
      </c>
      <c r="BG130">
        <v>20</v>
      </c>
      <c r="BH130" s="2">
        <v>20</v>
      </c>
      <c r="BI130" t="b">
        <v>1</v>
      </c>
      <c r="BJ130">
        <v>3</v>
      </c>
      <c r="BK130">
        <v>0</v>
      </c>
      <c r="BM130" t="b">
        <v>1</v>
      </c>
      <c r="BN130" t="b">
        <v>0</v>
      </c>
      <c r="BO130">
        <v>1</v>
      </c>
      <c r="BP130" s="2">
        <v>-1</v>
      </c>
      <c r="BQ130" t="s">
        <v>189</v>
      </c>
      <c r="BR130">
        <v>244316</v>
      </c>
      <c r="BS130" t="b">
        <v>0</v>
      </c>
      <c r="BT130" t="b">
        <v>1</v>
      </c>
      <c r="BU130">
        <v>60</v>
      </c>
      <c r="BV130" t="s">
        <v>39</v>
      </c>
      <c r="BW130">
        <v>0</v>
      </c>
      <c r="BX130" t="s">
        <v>166</v>
      </c>
      <c r="BY130" t="b">
        <v>0</v>
      </c>
      <c r="BZ130" t="s">
        <v>216</v>
      </c>
      <c r="CA130" t="s">
        <v>213</v>
      </c>
      <c r="CB130" t="b">
        <v>1</v>
      </c>
    </row>
    <row r="131" spans="13:80" x14ac:dyDescent="0.2">
      <c r="M131" t="s">
        <v>40</v>
      </c>
      <c r="N131" s="1">
        <v>44175.661805555559</v>
      </c>
      <c r="O131">
        <v>9129601</v>
      </c>
      <c r="P131">
        <v>33663</v>
      </c>
      <c r="Q131">
        <v>3.6871999999999998</v>
      </c>
      <c r="R131">
        <v>17675</v>
      </c>
      <c r="S131">
        <v>1.9359999999999999</v>
      </c>
      <c r="T131">
        <v>360</v>
      </c>
      <c r="U131">
        <v>3.9399999999999998E-2</v>
      </c>
      <c r="V131">
        <v>647342</v>
      </c>
      <c r="W131">
        <v>70.905799999999999</v>
      </c>
      <c r="X131">
        <v>672449</v>
      </c>
      <c r="Y131">
        <v>73.655900000000003</v>
      </c>
      <c r="Z131">
        <v>120000</v>
      </c>
      <c r="AA131">
        <v>31</v>
      </c>
      <c r="AB131" s="2">
        <v>34940</v>
      </c>
      <c r="AC131" s="2">
        <v>5504</v>
      </c>
      <c r="AD131" s="2">
        <v>10438707</v>
      </c>
      <c r="AE131" s="2">
        <v>44446</v>
      </c>
      <c r="AF131" s="2">
        <v>5835</v>
      </c>
      <c r="AG131" s="2">
        <v>4128664</v>
      </c>
      <c r="AH131" s="2">
        <v>13496</v>
      </c>
      <c r="AI131" s="2">
        <v>5012</v>
      </c>
      <c r="AJ131" s="2">
        <v>21864442</v>
      </c>
      <c r="AK131">
        <v>0</v>
      </c>
      <c r="AL131" s="2">
        <v>0</v>
      </c>
      <c r="AM131">
        <v>0</v>
      </c>
      <c r="AN131">
        <v>0</v>
      </c>
      <c r="AO131">
        <v>687.78</v>
      </c>
      <c r="AP131">
        <v>13225.48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5</v>
      </c>
      <c r="BC131">
        <v>5</v>
      </c>
      <c r="BD131">
        <v>250</v>
      </c>
      <c r="BE131">
        <v>7920</v>
      </c>
      <c r="BF131">
        <v>60</v>
      </c>
      <c r="BG131">
        <v>20</v>
      </c>
      <c r="BH131" s="2">
        <v>20</v>
      </c>
      <c r="BI131" t="b">
        <v>1</v>
      </c>
      <c r="BJ131">
        <v>3</v>
      </c>
      <c r="BK131">
        <v>0</v>
      </c>
      <c r="BM131" t="b">
        <v>1</v>
      </c>
      <c r="BN131" t="b">
        <v>0</v>
      </c>
      <c r="BO131">
        <v>7</v>
      </c>
      <c r="BP131" s="2">
        <v>450000</v>
      </c>
      <c r="BQ131" t="s">
        <v>189</v>
      </c>
      <c r="BR131">
        <v>244316</v>
      </c>
      <c r="BS131" t="b">
        <v>0</v>
      </c>
      <c r="BT131" t="b">
        <v>0</v>
      </c>
      <c r="BU131">
        <v>60</v>
      </c>
      <c r="BV131" t="s">
        <v>39</v>
      </c>
      <c r="BW131">
        <v>0</v>
      </c>
      <c r="BX131" t="s">
        <v>190</v>
      </c>
      <c r="BY131" t="b">
        <v>0</v>
      </c>
      <c r="CA131" t="s">
        <v>165</v>
      </c>
      <c r="CB131" t="b">
        <v>0</v>
      </c>
    </row>
    <row r="132" spans="13:80" x14ac:dyDescent="0.2">
      <c r="M132" t="s">
        <v>40</v>
      </c>
      <c r="N132" s="1">
        <v>44175.641238425924</v>
      </c>
      <c r="O132">
        <v>10903682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120000</v>
      </c>
      <c r="AA132">
        <v>128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>
        <v>0</v>
      </c>
      <c r="AL132" s="2">
        <v>0</v>
      </c>
      <c r="AM132">
        <v>0</v>
      </c>
      <c r="AN132">
        <v>0</v>
      </c>
      <c r="AO132">
        <v>0</v>
      </c>
      <c r="AP132">
        <v>0</v>
      </c>
      <c r="AQ132">
        <v>100</v>
      </c>
      <c r="AR132">
        <v>483</v>
      </c>
      <c r="AS132">
        <v>4.4299999999999999E-2</v>
      </c>
      <c r="AT132">
        <v>174782</v>
      </c>
      <c r="AU132">
        <v>16.029599999999999</v>
      </c>
      <c r="AV132">
        <v>36116</v>
      </c>
      <c r="AW132">
        <v>3.3123</v>
      </c>
      <c r="AX132">
        <v>129023</v>
      </c>
      <c r="AY132">
        <v>4957</v>
      </c>
      <c r="AZ132">
        <v>58214865</v>
      </c>
      <c r="BA132">
        <v>2988.09</v>
      </c>
      <c r="BB132">
        <v>1</v>
      </c>
      <c r="BC132">
        <v>10</v>
      </c>
      <c r="BD132">
        <v>-1</v>
      </c>
      <c r="BE132">
        <v>-1</v>
      </c>
      <c r="BF132">
        <v>60</v>
      </c>
      <c r="BG132">
        <v>20</v>
      </c>
      <c r="BH132" s="2">
        <v>20</v>
      </c>
      <c r="BI132" t="b">
        <v>1</v>
      </c>
      <c r="BJ132">
        <v>3</v>
      </c>
      <c r="BK132">
        <v>0</v>
      </c>
      <c r="BM132" t="b">
        <v>1</v>
      </c>
      <c r="BN132" t="b">
        <v>0</v>
      </c>
      <c r="BO132">
        <v>1</v>
      </c>
      <c r="BP132" s="2">
        <v>-1</v>
      </c>
      <c r="BQ132" t="s">
        <v>189</v>
      </c>
      <c r="BR132">
        <v>244316</v>
      </c>
      <c r="BS132" t="b">
        <v>0</v>
      </c>
      <c r="BT132" t="b">
        <v>1</v>
      </c>
      <c r="BU132">
        <v>60</v>
      </c>
      <c r="BV132" t="s">
        <v>39</v>
      </c>
      <c r="BW132">
        <v>0</v>
      </c>
      <c r="BX132" t="s">
        <v>166</v>
      </c>
      <c r="BY132" t="b">
        <v>0</v>
      </c>
      <c r="BZ132" t="s">
        <v>216</v>
      </c>
      <c r="CA132" t="s">
        <v>213</v>
      </c>
      <c r="CB132" t="b">
        <v>1</v>
      </c>
    </row>
    <row r="133" spans="13:80" x14ac:dyDescent="0.2">
      <c r="M133" t="s">
        <v>40</v>
      </c>
      <c r="N133" s="1">
        <v>44175.661817129629</v>
      </c>
      <c r="O133">
        <v>9129603</v>
      </c>
      <c r="P133">
        <v>33686</v>
      </c>
      <c r="Q133">
        <v>3.6898</v>
      </c>
      <c r="R133">
        <v>10607</v>
      </c>
      <c r="S133">
        <v>1.1617999999999999</v>
      </c>
      <c r="T133">
        <v>360</v>
      </c>
      <c r="U133">
        <v>3.9399999999999998E-2</v>
      </c>
      <c r="V133">
        <v>369527</v>
      </c>
      <c r="W133">
        <v>40.475700000000003</v>
      </c>
      <c r="X133">
        <v>645831</v>
      </c>
      <c r="Y133">
        <v>70.740300000000005</v>
      </c>
      <c r="Z133">
        <v>120000</v>
      </c>
      <c r="AA133">
        <v>29</v>
      </c>
      <c r="AB133" s="2">
        <v>32063</v>
      </c>
      <c r="AC133" s="2">
        <v>5893</v>
      </c>
      <c r="AD133" s="2">
        <v>12762520</v>
      </c>
      <c r="AE133" s="2">
        <v>44323</v>
      </c>
      <c r="AF133" s="2">
        <v>6564</v>
      </c>
      <c r="AG133" s="2">
        <v>2122603</v>
      </c>
      <c r="AH133" s="2">
        <v>14086</v>
      </c>
      <c r="AI133" s="2">
        <v>6219</v>
      </c>
      <c r="AJ133" s="2">
        <v>5195348</v>
      </c>
      <c r="AK133">
        <v>0</v>
      </c>
      <c r="AL133" s="2">
        <v>0</v>
      </c>
      <c r="AM133">
        <v>0</v>
      </c>
      <c r="AN133">
        <v>0</v>
      </c>
      <c r="AO133">
        <v>691.9</v>
      </c>
      <c r="AP133">
        <v>7590.67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5</v>
      </c>
      <c r="BC133">
        <v>5</v>
      </c>
      <c r="BD133">
        <v>250</v>
      </c>
      <c r="BE133">
        <v>7920</v>
      </c>
      <c r="BF133">
        <v>60</v>
      </c>
      <c r="BG133">
        <v>20</v>
      </c>
      <c r="BH133" s="2">
        <v>20</v>
      </c>
      <c r="BI133" t="b">
        <v>1</v>
      </c>
      <c r="BJ133">
        <v>3</v>
      </c>
      <c r="BK133">
        <v>0</v>
      </c>
      <c r="BM133" t="b">
        <v>1</v>
      </c>
      <c r="BN133" t="b">
        <v>0</v>
      </c>
      <c r="BO133">
        <v>7</v>
      </c>
      <c r="BP133" s="2">
        <v>450000</v>
      </c>
      <c r="BQ133" t="s">
        <v>189</v>
      </c>
      <c r="BR133">
        <v>244316</v>
      </c>
      <c r="BS133" t="b">
        <v>0</v>
      </c>
      <c r="BT133" t="b">
        <v>0</v>
      </c>
      <c r="BU133">
        <v>60</v>
      </c>
      <c r="BV133" t="s">
        <v>39</v>
      </c>
      <c r="BW133">
        <v>0</v>
      </c>
      <c r="BX133" t="s">
        <v>190</v>
      </c>
      <c r="BY133" t="b">
        <v>0</v>
      </c>
      <c r="CA133" t="s">
        <v>165</v>
      </c>
      <c r="CB133" t="b">
        <v>0</v>
      </c>
    </row>
    <row r="134" spans="13:80" x14ac:dyDescent="0.2">
      <c r="M134" t="s">
        <v>40</v>
      </c>
      <c r="N134" s="1">
        <v>44175.641250000001</v>
      </c>
      <c r="O134">
        <v>10902831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120000</v>
      </c>
      <c r="AA134">
        <v>180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>
        <v>0</v>
      </c>
      <c r="AL134" s="2">
        <v>0</v>
      </c>
      <c r="AM134">
        <v>0</v>
      </c>
      <c r="AN134">
        <v>0</v>
      </c>
      <c r="AO134">
        <v>0</v>
      </c>
      <c r="AP134">
        <v>0</v>
      </c>
      <c r="AQ134">
        <v>100</v>
      </c>
      <c r="AR134">
        <v>411</v>
      </c>
      <c r="AS134">
        <v>3.7699999999999997E-2</v>
      </c>
      <c r="AT134">
        <v>92900</v>
      </c>
      <c r="AU134">
        <v>8.5206999999999997</v>
      </c>
      <c r="AV134">
        <v>36065</v>
      </c>
      <c r="AW134">
        <v>3.3079000000000001</v>
      </c>
      <c r="AX134">
        <v>134127</v>
      </c>
      <c r="AY134">
        <v>5488</v>
      </c>
      <c r="AZ134">
        <v>57334176</v>
      </c>
      <c r="BA134">
        <v>1595.45</v>
      </c>
      <c r="BB134">
        <v>1</v>
      </c>
      <c r="BC134">
        <v>10</v>
      </c>
      <c r="BD134">
        <v>-1</v>
      </c>
      <c r="BE134">
        <v>-1</v>
      </c>
      <c r="BF134">
        <v>60</v>
      </c>
      <c r="BG134">
        <v>20</v>
      </c>
      <c r="BH134" s="2">
        <v>20</v>
      </c>
      <c r="BI134" t="b">
        <v>1</v>
      </c>
      <c r="BJ134">
        <v>3</v>
      </c>
      <c r="BK134">
        <v>0</v>
      </c>
      <c r="BM134" t="b">
        <v>1</v>
      </c>
      <c r="BN134" t="b">
        <v>0</v>
      </c>
      <c r="BO134">
        <v>1</v>
      </c>
      <c r="BP134" s="2">
        <v>-1</v>
      </c>
      <c r="BQ134" t="s">
        <v>189</v>
      </c>
      <c r="BR134">
        <v>244316</v>
      </c>
      <c r="BS134" t="b">
        <v>0</v>
      </c>
      <c r="BT134" t="b">
        <v>1</v>
      </c>
      <c r="BU134">
        <v>60</v>
      </c>
      <c r="BV134" t="s">
        <v>39</v>
      </c>
      <c r="BW134">
        <v>0</v>
      </c>
      <c r="BX134" t="s">
        <v>166</v>
      </c>
      <c r="BY134" t="b">
        <v>0</v>
      </c>
      <c r="BZ134" t="s">
        <v>216</v>
      </c>
      <c r="CA134" t="s">
        <v>213</v>
      </c>
      <c r="CB134" t="b">
        <v>1</v>
      </c>
    </row>
    <row r="135" spans="13:80" x14ac:dyDescent="0.2">
      <c r="M135" t="s">
        <v>40</v>
      </c>
      <c r="N135" s="1">
        <v>44175.661863425928</v>
      </c>
      <c r="O135">
        <v>9129601</v>
      </c>
      <c r="P135">
        <v>33709</v>
      </c>
      <c r="Q135">
        <v>3.6922999999999999</v>
      </c>
      <c r="R135">
        <v>17878</v>
      </c>
      <c r="S135">
        <v>1.9581999999999999</v>
      </c>
      <c r="T135">
        <v>360</v>
      </c>
      <c r="U135">
        <v>3.9399999999999998E-2</v>
      </c>
      <c r="V135">
        <v>849948</v>
      </c>
      <c r="W135">
        <v>93.097999999999999</v>
      </c>
      <c r="X135">
        <v>875896</v>
      </c>
      <c r="Y135">
        <v>95.940200000000004</v>
      </c>
      <c r="Z135">
        <v>120000</v>
      </c>
      <c r="AA135">
        <v>0</v>
      </c>
      <c r="AB135" s="2">
        <v>24325</v>
      </c>
      <c r="AC135" s="2">
        <v>5315</v>
      </c>
      <c r="AD135" s="2">
        <v>15269111</v>
      </c>
      <c r="AE135" s="2">
        <v>31005</v>
      </c>
      <c r="AF135" s="2">
        <v>6362</v>
      </c>
      <c r="AG135" s="2">
        <v>2483786</v>
      </c>
      <c r="AH135" s="2">
        <v>10392</v>
      </c>
      <c r="AI135" s="2">
        <v>6400</v>
      </c>
      <c r="AJ135" s="2">
        <v>4709496</v>
      </c>
      <c r="AK135">
        <v>0</v>
      </c>
      <c r="AL135" s="2">
        <v>0</v>
      </c>
      <c r="AM135">
        <v>0</v>
      </c>
      <c r="AN135">
        <v>0</v>
      </c>
      <c r="AO135">
        <v>692.38</v>
      </c>
      <c r="AP135">
        <v>17454.72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</v>
      </c>
      <c r="BC135">
        <v>5</v>
      </c>
      <c r="BD135">
        <v>250</v>
      </c>
      <c r="BE135">
        <v>7920</v>
      </c>
      <c r="BF135">
        <v>60</v>
      </c>
      <c r="BG135">
        <v>20</v>
      </c>
      <c r="BH135" s="2">
        <v>20</v>
      </c>
      <c r="BI135" t="b">
        <v>1</v>
      </c>
      <c r="BJ135">
        <v>3</v>
      </c>
      <c r="BK135">
        <v>0</v>
      </c>
      <c r="BM135" t="b">
        <v>1</v>
      </c>
      <c r="BN135" t="b">
        <v>0</v>
      </c>
      <c r="BO135">
        <v>7</v>
      </c>
      <c r="BP135" s="2">
        <v>450000</v>
      </c>
      <c r="BQ135" t="s">
        <v>189</v>
      </c>
      <c r="BR135">
        <v>244316</v>
      </c>
      <c r="BS135" t="b">
        <v>0</v>
      </c>
      <c r="BT135" t="b">
        <v>0</v>
      </c>
      <c r="BU135">
        <v>60</v>
      </c>
      <c r="BV135" t="s">
        <v>39</v>
      </c>
      <c r="BW135">
        <v>0</v>
      </c>
      <c r="BX135" t="s">
        <v>190</v>
      </c>
      <c r="BY135" t="b">
        <v>0</v>
      </c>
      <c r="CA135" t="s">
        <v>165</v>
      </c>
      <c r="CB135" t="b">
        <v>0</v>
      </c>
    </row>
    <row r="136" spans="13:80" x14ac:dyDescent="0.2">
      <c r="M136" t="s">
        <v>40</v>
      </c>
      <c r="N136" s="1">
        <v>44175.641238425924</v>
      </c>
      <c r="O136">
        <v>10903535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120000</v>
      </c>
      <c r="AA136">
        <v>55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>
        <v>0</v>
      </c>
      <c r="AL136" s="2">
        <v>0</v>
      </c>
      <c r="AM136">
        <v>0</v>
      </c>
      <c r="AN136">
        <v>0</v>
      </c>
      <c r="AO136">
        <v>0</v>
      </c>
      <c r="AP136">
        <v>0</v>
      </c>
      <c r="AQ136">
        <v>100</v>
      </c>
      <c r="AR136">
        <v>417</v>
      </c>
      <c r="AS136">
        <v>3.8199999999999998E-2</v>
      </c>
      <c r="AT136">
        <v>177811</v>
      </c>
      <c r="AU136">
        <v>16.307600000000001</v>
      </c>
      <c r="AV136">
        <v>36193</v>
      </c>
      <c r="AW136">
        <v>3.3193999999999999</v>
      </c>
      <c r="AX136">
        <v>186821</v>
      </c>
      <c r="AY136">
        <v>5304</v>
      </c>
      <c r="AZ136">
        <v>49777345</v>
      </c>
      <c r="BA136">
        <v>3060.39</v>
      </c>
      <c r="BB136">
        <v>1</v>
      </c>
      <c r="BC136">
        <v>10</v>
      </c>
      <c r="BD136">
        <v>-1</v>
      </c>
      <c r="BE136">
        <v>-1</v>
      </c>
      <c r="BF136">
        <v>60</v>
      </c>
      <c r="BG136">
        <v>20</v>
      </c>
      <c r="BH136" s="2">
        <v>20</v>
      </c>
      <c r="BI136" t="b">
        <v>1</v>
      </c>
      <c r="BJ136">
        <v>3</v>
      </c>
      <c r="BK136">
        <v>0</v>
      </c>
      <c r="BM136" t="b">
        <v>1</v>
      </c>
      <c r="BN136" t="b">
        <v>0</v>
      </c>
      <c r="BO136">
        <v>1</v>
      </c>
      <c r="BP136" s="2">
        <v>-1</v>
      </c>
      <c r="BQ136" t="s">
        <v>189</v>
      </c>
      <c r="BR136">
        <v>244316</v>
      </c>
      <c r="BS136" t="b">
        <v>0</v>
      </c>
      <c r="BT136" t="b">
        <v>1</v>
      </c>
      <c r="BU136">
        <v>60</v>
      </c>
      <c r="BV136" t="s">
        <v>39</v>
      </c>
      <c r="BW136">
        <v>0</v>
      </c>
      <c r="BX136" t="s">
        <v>166</v>
      </c>
      <c r="BY136" t="b">
        <v>0</v>
      </c>
      <c r="BZ136" t="s">
        <v>216</v>
      </c>
      <c r="CA136" t="s">
        <v>213</v>
      </c>
      <c r="CB136" t="b">
        <v>1</v>
      </c>
    </row>
    <row r="137" spans="13:80" x14ac:dyDescent="0.2">
      <c r="M137" t="s">
        <v>40</v>
      </c>
      <c r="N137" s="1">
        <v>44175.661863425928</v>
      </c>
      <c r="O137">
        <v>9129601</v>
      </c>
      <c r="P137">
        <v>33706</v>
      </c>
      <c r="Q137">
        <v>3.6919</v>
      </c>
      <c r="R137">
        <v>13191</v>
      </c>
      <c r="S137">
        <v>1.4449000000000001</v>
      </c>
      <c r="T137">
        <v>360</v>
      </c>
      <c r="U137">
        <v>3.9399999999999998E-2</v>
      </c>
      <c r="V137">
        <v>367858</v>
      </c>
      <c r="W137">
        <v>40.292900000000003</v>
      </c>
      <c r="X137">
        <v>527978</v>
      </c>
      <c r="Y137">
        <v>57.831400000000002</v>
      </c>
      <c r="Z137">
        <v>120000</v>
      </c>
      <c r="AA137">
        <v>0</v>
      </c>
      <c r="AB137" s="2">
        <v>26789</v>
      </c>
      <c r="AC137" s="2">
        <v>5347</v>
      </c>
      <c r="AD137" s="2">
        <v>16001789</v>
      </c>
      <c r="AE137" s="2">
        <v>51735</v>
      </c>
      <c r="AF137" s="2">
        <v>6179</v>
      </c>
      <c r="AG137" s="2">
        <v>3741872</v>
      </c>
      <c r="AH137" s="2">
        <v>17259</v>
      </c>
      <c r="AI137" s="2">
        <v>6885</v>
      </c>
      <c r="AJ137" s="2">
        <v>21854629</v>
      </c>
      <c r="AK137">
        <v>0</v>
      </c>
      <c r="AL137" s="2">
        <v>0</v>
      </c>
      <c r="AM137">
        <v>0</v>
      </c>
      <c r="AN137">
        <v>0</v>
      </c>
      <c r="AO137">
        <v>688.68</v>
      </c>
      <c r="AP137">
        <v>7515.04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5</v>
      </c>
      <c r="BC137">
        <v>5</v>
      </c>
      <c r="BD137">
        <v>250</v>
      </c>
      <c r="BE137">
        <v>7920</v>
      </c>
      <c r="BF137">
        <v>60</v>
      </c>
      <c r="BG137">
        <v>20</v>
      </c>
      <c r="BH137" s="2">
        <v>20</v>
      </c>
      <c r="BI137" t="b">
        <v>1</v>
      </c>
      <c r="BJ137">
        <v>3</v>
      </c>
      <c r="BK137">
        <v>0</v>
      </c>
      <c r="BM137" t="b">
        <v>1</v>
      </c>
      <c r="BN137" t="b">
        <v>0</v>
      </c>
      <c r="BO137">
        <v>7</v>
      </c>
      <c r="BP137" s="2">
        <v>450000</v>
      </c>
      <c r="BQ137" t="s">
        <v>189</v>
      </c>
      <c r="BR137">
        <v>244316</v>
      </c>
      <c r="BS137" t="b">
        <v>0</v>
      </c>
      <c r="BT137" t="b">
        <v>0</v>
      </c>
      <c r="BU137">
        <v>60</v>
      </c>
      <c r="BV137" t="s">
        <v>39</v>
      </c>
      <c r="BW137">
        <v>0</v>
      </c>
      <c r="BX137" t="s">
        <v>190</v>
      </c>
      <c r="BY137" t="b">
        <v>0</v>
      </c>
      <c r="CA137" t="s">
        <v>165</v>
      </c>
      <c r="CB137" t="b">
        <v>0</v>
      </c>
    </row>
    <row r="138" spans="13:80" x14ac:dyDescent="0.2">
      <c r="M138" t="s">
        <v>40</v>
      </c>
      <c r="N138" s="1">
        <v>44175.641250000001</v>
      </c>
      <c r="O138">
        <v>10902904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120000</v>
      </c>
      <c r="AA138">
        <v>76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>
        <v>0</v>
      </c>
      <c r="AL138" s="2">
        <v>0</v>
      </c>
      <c r="AM138">
        <v>0</v>
      </c>
      <c r="AN138">
        <v>0</v>
      </c>
      <c r="AO138">
        <v>0</v>
      </c>
      <c r="AP138">
        <v>0</v>
      </c>
      <c r="AQ138">
        <v>100</v>
      </c>
      <c r="AR138">
        <v>560</v>
      </c>
      <c r="AS138">
        <v>5.1400000000000001E-2</v>
      </c>
      <c r="AT138">
        <v>122053</v>
      </c>
      <c r="AU138">
        <v>11.1945</v>
      </c>
      <c r="AV138">
        <v>36172</v>
      </c>
      <c r="AW138">
        <v>3.3176000000000001</v>
      </c>
      <c r="AX138">
        <v>109109</v>
      </c>
      <c r="AY138">
        <v>4968</v>
      </c>
      <c r="AZ138">
        <v>57412469</v>
      </c>
      <c r="BA138">
        <v>2093.89</v>
      </c>
      <c r="BB138">
        <v>1</v>
      </c>
      <c r="BC138">
        <v>10</v>
      </c>
      <c r="BD138">
        <v>-1</v>
      </c>
      <c r="BE138">
        <v>-1</v>
      </c>
      <c r="BF138">
        <v>60</v>
      </c>
      <c r="BG138">
        <v>20</v>
      </c>
      <c r="BH138" s="2">
        <v>20</v>
      </c>
      <c r="BI138" t="b">
        <v>1</v>
      </c>
      <c r="BJ138">
        <v>3</v>
      </c>
      <c r="BK138">
        <v>0</v>
      </c>
      <c r="BM138" t="b">
        <v>1</v>
      </c>
      <c r="BN138" t="b">
        <v>0</v>
      </c>
      <c r="BO138">
        <v>1</v>
      </c>
      <c r="BP138" s="2">
        <v>-1</v>
      </c>
      <c r="BQ138" t="s">
        <v>189</v>
      </c>
      <c r="BR138">
        <v>244316</v>
      </c>
      <c r="BS138" t="b">
        <v>0</v>
      </c>
      <c r="BT138" t="b">
        <v>1</v>
      </c>
      <c r="BU138">
        <v>60</v>
      </c>
      <c r="BV138" t="s">
        <v>39</v>
      </c>
      <c r="BW138">
        <v>0</v>
      </c>
      <c r="BX138" t="s">
        <v>166</v>
      </c>
      <c r="BY138" t="b">
        <v>0</v>
      </c>
      <c r="BZ138" t="s">
        <v>216</v>
      </c>
      <c r="CA138" t="s">
        <v>213</v>
      </c>
      <c r="CB138" t="b">
        <v>1</v>
      </c>
    </row>
  </sheetData>
  <conditionalFormatting sqref="B16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67F6-C46A-8F4C-A9C1-C73570A82A1B}">
  <dimension ref="A1:CB138"/>
  <sheetViews>
    <sheetView workbookViewId="0">
      <selection activeCell="D39" sqref="D39"/>
    </sheetView>
  </sheetViews>
  <sheetFormatPr baseColWidth="10" defaultRowHeight="16" x14ac:dyDescent="0.2"/>
  <cols>
    <col min="1" max="1" width="15.6640625" customWidth="1"/>
    <col min="2" max="2" width="19.6640625" customWidth="1"/>
    <col min="3" max="3" width="13.83203125" customWidth="1"/>
    <col min="12" max="12" width="1.33203125" style="81" customWidth="1"/>
    <col min="13" max="13" width="15.5" bestFit="1" customWidth="1"/>
    <col min="14" max="14" width="12.83203125" bestFit="1" customWidth="1"/>
    <col min="15" max="15" width="12.33203125" bestFit="1" customWidth="1"/>
    <col min="16" max="16" width="6.1640625" bestFit="1" customWidth="1"/>
    <col min="17" max="17" width="8.1640625" bestFit="1" customWidth="1"/>
    <col min="18" max="18" width="7.1640625" bestFit="1" customWidth="1"/>
    <col min="19" max="19" width="10.6640625" bestFit="1" customWidth="1"/>
    <col min="20" max="20" width="12.1640625" bestFit="1" customWidth="1"/>
    <col min="21" max="21" width="15.6640625" bestFit="1" customWidth="1"/>
    <col min="22" max="22" width="7.1640625" bestFit="1" customWidth="1"/>
    <col min="23" max="23" width="9.1640625" bestFit="1" customWidth="1"/>
    <col min="24" max="24" width="9.6640625" bestFit="1" customWidth="1"/>
    <col min="25" max="25" width="13.1640625" bestFit="1" customWidth="1"/>
    <col min="26" max="26" width="9" bestFit="1" customWidth="1"/>
    <col min="27" max="27" width="6" bestFit="1" customWidth="1"/>
    <col min="28" max="28" width="16" style="2" bestFit="1" customWidth="1"/>
    <col min="29" max="29" width="14.5" style="2" bestFit="1" customWidth="1"/>
    <col min="30" max="30" width="14.83203125" style="2" bestFit="1" customWidth="1"/>
    <col min="31" max="31" width="18.6640625" style="2" bestFit="1" customWidth="1"/>
    <col min="32" max="32" width="17.1640625" style="2" bestFit="1" customWidth="1"/>
    <col min="33" max="33" width="17.5" style="2" bestFit="1" customWidth="1"/>
    <col min="34" max="34" width="15.83203125" style="2" bestFit="1" customWidth="1"/>
    <col min="35" max="35" width="14.33203125" style="2" bestFit="1" customWidth="1"/>
    <col min="36" max="36" width="14.6640625" style="2" bestFit="1" customWidth="1"/>
    <col min="37" max="37" width="10" bestFit="1" customWidth="1"/>
    <col min="38" max="38" width="20.83203125" bestFit="1" customWidth="1"/>
    <col min="39" max="39" width="19.33203125" bestFit="1" customWidth="1"/>
    <col min="40" max="40" width="19.6640625" bestFit="1" customWidth="1"/>
    <col min="41" max="42" width="13" bestFit="1" customWidth="1"/>
    <col min="43" max="43" width="8.6640625" bestFit="1" customWidth="1"/>
    <col min="44" max="44" width="12" bestFit="1" customWidth="1"/>
    <col min="45" max="45" width="15.5" bestFit="1" customWidth="1"/>
    <col min="46" max="46" width="9.83203125" bestFit="1" customWidth="1"/>
    <col min="47" max="47" width="13.33203125" bestFit="1" customWidth="1"/>
    <col min="48" max="48" width="14.83203125" bestFit="1" customWidth="1"/>
    <col min="49" max="49" width="18.5" bestFit="1" customWidth="1"/>
    <col min="50" max="50" width="21.1640625" bestFit="1" customWidth="1"/>
    <col min="51" max="51" width="19.6640625" bestFit="1" customWidth="1"/>
    <col min="52" max="52" width="20" bestFit="1" customWidth="1"/>
    <col min="53" max="53" width="18.33203125" bestFit="1" customWidth="1"/>
    <col min="54" max="54" width="10.1640625" bestFit="1" customWidth="1"/>
    <col min="55" max="55" width="13.33203125" bestFit="1" customWidth="1"/>
    <col min="56" max="56" width="14.1640625" bestFit="1" customWidth="1"/>
    <col min="57" max="57" width="12.6640625" bestFit="1" customWidth="1"/>
    <col min="58" max="58" width="12.83203125" bestFit="1" customWidth="1"/>
    <col min="59" max="59" width="6.5" bestFit="1" customWidth="1"/>
    <col min="60" max="60" width="5.83203125" style="2" bestFit="1" customWidth="1"/>
    <col min="61" max="61" width="10.1640625" bestFit="1" customWidth="1"/>
    <col min="62" max="62" width="9.1640625" bestFit="1" customWidth="1"/>
    <col min="63" max="63" width="18.6640625" bestFit="1" customWidth="1"/>
    <col min="64" max="64" width="12.33203125" bestFit="1" customWidth="1"/>
    <col min="65" max="65" width="11.5" bestFit="1" customWidth="1"/>
    <col min="66" max="66" width="12" bestFit="1" customWidth="1"/>
    <col min="67" max="67" width="8.33203125" bestFit="1" customWidth="1"/>
    <col min="68" max="68" width="7.83203125" bestFit="1" customWidth="1"/>
    <col min="69" max="69" width="80.6640625" bestFit="1" customWidth="1"/>
    <col min="70" max="70" width="7.83203125" bestFit="1" customWidth="1"/>
    <col min="71" max="71" width="14.6640625" bestFit="1" customWidth="1"/>
    <col min="72" max="72" width="7.6640625" bestFit="1" customWidth="1"/>
    <col min="73" max="73" width="12" bestFit="1" customWidth="1"/>
    <col min="74" max="74" width="11.33203125" bestFit="1" customWidth="1"/>
    <col min="75" max="75" width="5" bestFit="1" customWidth="1"/>
    <col min="76" max="76" width="7.83203125" bestFit="1" customWidth="1"/>
    <col min="77" max="77" width="7.5" bestFit="1" customWidth="1"/>
    <col min="78" max="78" width="20.1640625" bestFit="1" customWidth="1"/>
    <col min="79" max="79" width="22" bestFit="1" customWidth="1"/>
    <col min="80" max="80" width="15.83203125" customWidth="1"/>
  </cols>
  <sheetData>
    <row r="1" spans="1:80" x14ac:dyDescent="0.2">
      <c r="D1" s="84" t="s">
        <v>169</v>
      </c>
      <c r="E1" s="85"/>
      <c r="F1" s="86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80"/>
      <c r="AC1" s="80"/>
      <c r="AD1" s="80"/>
      <c r="AE1" s="80"/>
      <c r="AF1" s="80"/>
      <c r="AG1" s="80"/>
      <c r="AH1" s="80"/>
      <c r="AI1" s="80"/>
      <c r="AJ1" s="80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80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</row>
    <row r="2" spans="1:80" x14ac:dyDescent="0.2">
      <c r="A2" t="s">
        <v>55</v>
      </c>
      <c r="B2" s="10" t="str">
        <f>CONCATENATE(TEXT(FLOOR(AVERAGE(O:O)/1000/60/60,1),"0"),":",TEXT(FLOOR((AVERAGE(O:O)-(FLOOR(AVERAGE(O:O)/1000/60/60,1)*3600000))/1000/60,1),"00"))</f>
        <v>2:25</v>
      </c>
      <c r="D2" s="39">
        <v>2</v>
      </c>
      <c r="E2" s="87" t="s">
        <v>168</v>
      </c>
      <c r="F2" s="88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80"/>
      <c r="AC2" s="80"/>
      <c r="AD2" s="80"/>
      <c r="AE2" s="80"/>
      <c r="AF2" s="80"/>
      <c r="AG2" s="80"/>
      <c r="AH2" s="80"/>
      <c r="AI2" s="80"/>
      <c r="AJ2" s="80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80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</row>
    <row r="3" spans="1:80" x14ac:dyDescent="0.2">
      <c r="A3" t="str">
        <f>Z38</f>
        <v>key space</v>
      </c>
      <c r="B3" s="14">
        <f>AVERAGE(Z:Z)*C20</f>
        <v>6000000</v>
      </c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80"/>
      <c r="AC3" s="80"/>
      <c r="AD3" s="80"/>
      <c r="AE3" s="80"/>
      <c r="AF3" s="80"/>
      <c r="AG3" s="80"/>
      <c r="AH3" s="80"/>
      <c r="AI3" s="80"/>
      <c r="AJ3" s="80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80"/>
      <c r="BI3" s="79"/>
      <c r="BJ3" s="79"/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9"/>
      <c r="CB3" s="79"/>
    </row>
    <row r="4" spans="1:80" x14ac:dyDescent="0.2">
      <c r="D4" s="11"/>
      <c r="H4" s="7" t="s">
        <v>209</v>
      </c>
      <c r="I4" s="125"/>
      <c r="J4" s="125"/>
      <c r="K4" s="123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80"/>
      <c r="AC4" s="80"/>
      <c r="AD4" s="80"/>
      <c r="AE4" s="80"/>
      <c r="AF4" s="80"/>
      <c r="AG4" s="80"/>
      <c r="AH4" s="80"/>
      <c r="AI4" s="80"/>
      <c r="AJ4" s="80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80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</row>
    <row r="5" spans="1:80" x14ac:dyDescent="0.2">
      <c r="A5" s="7"/>
      <c r="B5" s="7" t="s">
        <v>56</v>
      </c>
      <c r="C5" s="7" t="s">
        <v>57</v>
      </c>
      <c r="D5" s="7" t="s">
        <v>172</v>
      </c>
      <c r="E5" s="77" t="s">
        <v>59</v>
      </c>
      <c r="F5" s="77" t="s">
        <v>58</v>
      </c>
      <c r="G5" s="7" t="s">
        <v>60</v>
      </c>
      <c r="H5" s="7" t="s">
        <v>211</v>
      </c>
      <c r="I5" s="77" t="s">
        <v>210</v>
      </c>
      <c r="J5" s="7" t="s">
        <v>212</v>
      </c>
      <c r="K5" s="77" t="s">
        <v>210</v>
      </c>
      <c r="L5" s="82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80"/>
      <c r="AC5" s="80"/>
      <c r="AD5" s="80"/>
      <c r="AE5" s="80"/>
      <c r="AF5" s="80"/>
      <c r="AG5" s="80"/>
      <c r="AH5" s="80"/>
      <c r="AI5" s="80"/>
      <c r="AJ5" s="80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80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</row>
    <row r="6" spans="1:80" x14ac:dyDescent="0.2">
      <c r="A6" s="7" t="str">
        <f>P38</f>
        <v>puts</v>
      </c>
      <c r="B6" s="8">
        <f>SUM(P:P)</f>
        <v>1463616</v>
      </c>
      <c r="C6" s="9">
        <f>SUM(Q:Q)</f>
        <v>186.18080000000006</v>
      </c>
      <c r="D6" s="89">
        <f>SUM(AO:AO)/1024</f>
        <v>34.117412109375003</v>
      </c>
      <c r="E6" s="78">
        <f>IF(B6&gt;0,AVERAGEIF(AB:AB,"&lt;&gt;0")/1000,"N/A")</f>
        <v>10.544459999999999</v>
      </c>
      <c r="F6" s="78">
        <f>IF(B6&gt;0,SMALL(AC:AC,COUNTIF(AC:AC,0)+1)/1000,"N/A")</f>
        <v>3.0270000000000001</v>
      </c>
      <c r="G6" s="9">
        <f>IF(B6&gt;0,MAX(AD:AD)/1000,"N/A")</f>
        <v>1374.135</v>
      </c>
      <c r="H6" s="121">
        <v>88</v>
      </c>
      <c r="I6" s="98">
        <f>C6/H6</f>
        <v>2.11569090909091</v>
      </c>
      <c r="J6" s="89">
        <f>0.012*1024</f>
        <v>12.288</v>
      </c>
      <c r="K6" s="98">
        <f>D6/J6</f>
        <v>2.776482105255127</v>
      </c>
      <c r="L6" s="83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80"/>
      <c r="AC6" s="80"/>
      <c r="AD6" s="80"/>
      <c r="AE6" s="80"/>
      <c r="AF6" s="80"/>
      <c r="AG6" s="80"/>
      <c r="AH6" s="80"/>
      <c r="AI6" s="80"/>
      <c r="AJ6" s="80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80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</row>
    <row r="7" spans="1:80" x14ac:dyDescent="0.2">
      <c r="A7" s="7" t="str">
        <f>R38</f>
        <v>deletes</v>
      </c>
      <c r="B7" s="8">
        <f>SUM(R:R)</f>
        <v>762300</v>
      </c>
      <c r="C7" s="9">
        <f>SUM(S:S)</f>
        <v>96.968799999999945</v>
      </c>
      <c r="D7" s="89"/>
      <c r="E7" s="77"/>
      <c r="F7" s="77"/>
      <c r="G7" s="7"/>
      <c r="H7" s="121"/>
      <c r="I7" s="98"/>
      <c r="J7" s="89"/>
      <c r="K7" s="98"/>
      <c r="L7" s="82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80"/>
      <c r="AC7" s="80"/>
      <c r="AD7" s="80"/>
      <c r="AE7" s="80"/>
      <c r="AF7" s="80"/>
      <c r="AG7" s="80"/>
      <c r="AH7" s="80"/>
      <c r="AI7" s="80"/>
      <c r="AJ7" s="80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80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</row>
    <row r="8" spans="1:80" x14ac:dyDescent="0.2">
      <c r="A8" s="7" t="str">
        <f>T38</f>
        <v>client deletes</v>
      </c>
      <c r="B8" s="8">
        <f>SUM(T:T)</f>
        <v>15246</v>
      </c>
      <c r="C8" s="9">
        <f>SUM(U:U)</f>
        <v>1.939799999999998</v>
      </c>
      <c r="D8" s="89"/>
      <c r="E8" s="78">
        <f>IF(B8&gt;0,AVERAGEIF(AE:AE,"&lt;&gt;0")/1000,"N/A")</f>
        <v>10.53068</v>
      </c>
      <c r="F8" s="78">
        <f>IF(B8&gt;0,SMALL(AF:AF,COUNTIF(AF:AF,0)+1)/1000,"N/A")</f>
        <v>3.7639999999999998</v>
      </c>
      <c r="G8" s="9">
        <f>IF(B8&gt;0,MAX(AG:AG)/1000,"N/A")</f>
        <v>504.54500000000002</v>
      </c>
      <c r="H8" s="121"/>
      <c r="I8" s="98"/>
      <c r="J8" s="89"/>
      <c r="K8" s="98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80"/>
      <c r="AC8" s="80"/>
      <c r="AD8" s="80"/>
      <c r="AE8" s="80"/>
      <c r="AF8" s="80"/>
      <c r="AG8" s="80"/>
      <c r="AH8" s="80"/>
      <c r="AI8" s="80"/>
      <c r="AJ8" s="80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80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</row>
    <row r="9" spans="1:80" x14ac:dyDescent="0.2">
      <c r="A9" s="7" t="str">
        <f>V38</f>
        <v>gets</v>
      </c>
      <c r="B9" s="8">
        <f>SUM(V:V)</f>
        <v>37892323</v>
      </c>
      <c r="C9" s="9">
        <f>SUM(W:W)</f>
        <v>4819.9972000000016</v>
      </c>
      <c r="D9" s="89">
        <f>SUM(AP:AP)/1024</f>
        <v>883.18815429687504</v>
      </c>
      <c r="E9" s="77"/>
      <c r="F9" s="77"/>
      <c r="G9" s="7"/>
      <c r="H9" s="121"/>
      <c r="I9" s="98"/>
      <c r="J9" s="89">
        <f>0.19*1024</f>
        <v>194.56</v>
      </c>
      <c r="K9" s="98">
        <f>D9/J9</f>
        <v>4.539412799634432</v>
      </c>
      <c r="L9" s="82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80"/>
      <c r="AC9" s="80"/>
      <c r="AD9" s="80"/>
      <c r="AE9" s="80"/>
      <c r="AF9" s="80"/>
      <c r="AG9" s="80"/>
      <c r="AH9" s="80"/>
      <c r="AI9" s="80"/>
      <c r="AJ9" s="80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80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</row>
    <row r="10" spans="1:80" x14ac:dyDescent="0.2">
      <c r="A10" s="7" t="str">
        <f>X38</f>
        <v>client gets</v>
      </c>
      <c r="B10" s="8">
        <f>SUM(X:X)</f>
        <v>38792481</v>
      </c>
      <c r="C10" s="9">
        <f>SUM(Y:Y)</f>
        <v>4934.4992000000011</v>
      </c>
      <c r="D10" s="89"/>
      <c r="E10" s="78">
        <f>IF(B10&gt;0,AVERAGEIF(AH:AH,"&lt;&gt;0")/1000,"N/A")</f>
        <v>10.349120000000001</v>
      </c>
      <c r="F10" s="78">
        <f>IF(B10&gt;0,SMALL(AI:AI,COUNTIF(AI:AI,0)+1)/1000,"N/A")</f>
        <v>4.1539999999999999</v>
      </c>
      <c r="G10" s="9">
        <f>IF(B10&gt;0,MAX(AJ:AJ)/1000,"N/A")</f>
        <v>1436.933</v>
      </c>
      <c r="H10" s="121">
        <v>5000</v>
      </c>
      <c r="I10" s="98">
        <f>C10/H10</f>
        <v>0.98689984000000019</v>
      </c>
      <c r="J10" s="89"/>
      <c r="K10" s="98"/>
      <c r="L10" s="83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80"/>
      <c r="AC10" s="80"/>
      <c r="AD10" s="80"/>
      <c r="AE10" s="80"/>
      <c r="AF10" s="80"/>
      <c r="AG10" s="80"/>
      <c r="AH10" s="80"/>
      <c r="AI10" s="80"/>
      <c r="AJ10" s="80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80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</row>
    <row r="11" spans="1:80" x14ac:dyDescent="0.2">
      <c r="A11" s="7" t="str">
        <f>AT38</f>
        <v>prefix gets</v>
      </c>
      <c r="B11" s="8">
        <f>SUM(AT:AT)</f>
        <v>7127628</v>
      </c>
      <c r="C11" s="8">
        <f>SUM(AU:AU)</f>
        <v>740.97280000000012</v>
      </c>
      <c r="D11" s="89">
        <f>SUM(BA:BA)/1024</f>
        <v>135.79054687499993</v>
      </c>
      <c r="E11" s="78"/>
      <c r="F11" s="78"/>
      <c r="G11" s="9"/>
      <c r="H11" s="121"/>
      <c r="I11" s="98"/>
      <c r="J11" s="89">
        <f>4.9*1024</f>
        <v>5017.6000000000004</v>
      </c>
      <c r="K11" s="98">
        <f>D11/J11</f>
        <v>2.7062848149513697E-2</v>
      </c>
      <c r="L11" s="83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80"/>
      <c r="AC11" s="80"/>
      <c r="AD11" s="80"/>
      <c r="AE11" s="80"/>
      <c r="AF11" s="80"/>
      <c r="AG11" s="80"/>
      <c r="AH11" s="80"/>
      <c r="AI11" s="80"/>
      <c r="AJ11" s="80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80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</row>
    <row r="12" spans="1:80" x14ac:dyDescent="0.2">
      <c r="A12" s="7" t="str">
        <f>AV38</f>
        <v>client prefix gets</v>
      </c>
      <c r="B12" s="8">
        <f>SUM(AV:AV)</f>
        <v>1598139</v>
      </c>
      <c r="C12" s="8">
        <f>SUM(AW:AW)</f>
        <v>166.13939999999999</v>
      </c>
      <c r="D12" s="89"/>
      <c r="E12" s="78">
        <f>IF(B12&gt;0,AVERAGEIF(AX:AX,"&lt;&gt;0")/1000,"N/A")</f>
        <v>11.85792</v>
      </c>
      <c r="F12" s="78">
        <f>IF(B12&gt;0,SMALL(AY:AY,COUNTIF(AY:AY,0)+1)/1000,"N/A")</f>
        <v>2.931</v>
      </c>
      <c r="G12" s="9">
        <f>IF(B12&gt;0,MAX(AZ:AZ)/1000,"N/A")</f>
        <v>1440.2260000000001</v>
      </c>
      <c r="H12" s="121">
        <v>172</v>
      </c>
      <c r="I12" s="98">
        <f>C12/H12</f>
        <v>0.96592674418604652</v>
      </c>
      <c r="J12" s="89"/>
      <c r="K12" s="98"/>
      <c r="L12" s="83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80"/>
      <c r="AC12" s="80"/>
      <c r="AD12" s="80"/>
      <c r="AE12" s="80"/>
      <c r="AF12" s="80"/>
      <c r="AG12" s="80"/>
      <c r="AH12" s="80"/>
      <c r="AI12" s="80"/>
      <c r="AJ12" s="80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80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</row>
    <row r="13" spans="1:80" x14ac:dyDescent="0.2">
      <c r="A13" s="76" t="str">
        <f>AK38</f>
        <v>reconnects</v>
      </c>
      <c r="B13" s="8">
        <f>SUM(AK:AK)</f>
        <v>0</v>
      </c>
      <c r="C13" s="9"/>
      <c r="D13" s="89"/>
      <c r="E13" s="78" t="str">
        <f>IF(B13&gt;0,AVERAGEIF(AL:AL,"&lt;&gt;0")/1000,"N/A")</f>
        <v>N/A</v>
      </c>
      <c r="F13" s="78" t="str">
        <f>IF(B13&gt;0,SMALL(AM:AM,COUNTIF(AM:AM,0)+1),"N/A")</f>
        <v>N/A</v>
      </c>
      <c r="G13" s="9" t="str">
        <f>IF(B13&gt;0,MAX(AN:AN)/1000,"N/A")</f>
        <v>N/A</v>
      </c>
      <c r="H13" s="121"/>
      <c r="I13" s="98"/>
      <c r="J13" s="89"/>
      <c r="K13" s="98"/>
      <c r="L13" s="83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80"/>
      <c r="AC13" s="80"/>
      <c r="AD13" s="80"/>
      <c r="AE13" s="80"/>
      <c r="AF13" s="80"/>
      <c r="AG13" s="80"/>
      <c r="AH13" s="80"/>
      <c r="AI13" s="80"/>
      <c r="AJ13" s="80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80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</row>
    <row r="14" spans="1:80" x14ac:dyDescent="0.2">
      <c r="A14" s="76" t="str">
        <f>AQ38</f>
        <v>watchers</v>
      </c>
      <c r="B14" s="8">
        <f>SUM(AQ:AQ)</f>
        <v>5000</v>
      </c>
      <c r="C14" s="9"/>
      <c r="D14" s="89"/>
      <c r="E14" s="78"/>
      <c r="F14" s="78"/>
      <c r="G14" s="9"/>
      <c r="H14" s="121">
        <v>4000</v>
      </c>
      <c r="I14" s="98">
        <f>B14/H14</f>
        <v>1.25</v>
      </c>
      <c r="J14" s="89"/>
      <c r="K14" s="98"/>
      <c r="L14" s="83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80"/>
      <c r="AC14" s="80"/>
      <c r="AD14" s="80"/>
      <c r="AE14" s="80"/>
      <c r="AF14" s="80"/>
      <c r="AG14" s="80"/>
      <c r="AH14" s="80"/>
      <c r="AI14" s="80"/>
      <c r="AJ14" s="80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80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</row>
    <row r="15" spans="1:80" x14ac:dyDescent="0.2">
      <c r="A15" s="76" t="s">
        <v>173</v>
      </c>
      <c r="B15" s="8">
        <f>SUM(AR:AR)</f>
        <v>31548</v>
      </c>
      <c r="C15" s="9">
        <f>SUM(AS:AS)</f>
        <v>3.2797000000000001</v>
      </c>
      <c r="D15" s="89"/>
      <c r="E15" s="78"/>
      <c r="F15" s="78"/>
      <c r="G15" s="9"/>
      <c r="H15" s="121"/>
      <c r="I15" s="98"/>
      <c r="J15" s="89"/>
      <c r="K15" s="98"/>
      <c r="L15" s="83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80"/>
      <c r="AC15" s="80"/>
      <c r="AD15" s="80"/>
      <c r="AE15" s="80"/>
      <c r="AF15" s="80"/>
      <c r="AG15" s="80"/>
      <c r="AH15" s="80"/>
      <c r="AI15" s="80"/>
      <c r="AJ15" s="80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80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</row>
    <row r="16" spans="1:80" x14ac:dyDescent="0.2">
      <c r="A16" s="76" t="s">
        <v>224</v>
      </c>
      <c r="B16" s="8">
        <f>SUM(AA:AA)</f>
        <v>0</v>
      </c>
      <c r="C16" s="129">
        <f>B16/AVERAGE(O:O)*1000</f>
        <v>0</v>
      </c>
      <c r="D16" s="126"/>
      <c r="E16" s="83"/>
      <c r="F16" s="83"/>
      <c r="G16" s="124"/>
      <c r="H16" s="127"/>
      <c r="I16" s="128"/>
      <c r="J16" s="126"/>
      <c r="K16" s="128"/>
      <c r="L16" s="83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80"/>
      <c r="AC16" s="80"/>
      <c r="AD16" s="80"/>
      <c r="AE16" s="80"/>
      <c r="AF16" s="80"/>
      <c r="AG16" s="80"/>
      <c r="AH16" s="80"/>
      <c r="AI16" s="80"/>
      <c r="AJ16" s="80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80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</row>
    <row r="17" spans="1:80" x14ac:dyDescent="0.2">
      <c r="A17" s="7" t="s">
        <v>61</v>
      </c>
      <c r="B17" s="7"/>
      <c r="C17" s="9">
        <f>C6+C8+C10</f>
        <v>5122.6198000000013</v>
      </c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80"/>
      <c r="AC17" s="80"/>
      <c r="AD17" s="80"/>
      <c r="AE17" s="80"/>
      <c r="AF17" s="80"/>
      <c r="AG17" s="80"/>
      <c r="AH17" s="80"/>
      <c r="AI17" s="80"/>
      <c r="AJ17" s="80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80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</row>
    <row r="18" spans="1:80" x14ac:dyDescent="0.2"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80"/>
      <c r="AC18" s="80"/>
      <c r="AD18" s="80"/>
      <c r="AE18" s="80"/>
      <c r="AF18" s="80"/>
      <c r="AG18" s="80"/>
      <c r="AH18" s="80"/>
      <c r="AI18" s="80"/>
      <c r="AJ18" s="80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80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</row>
    <row r="19" spans="1:80" x14ac:dyDescent="0.2">
      <c r="B19" s="22" t="s">
        <v>136</v>
      </c>
      <c r="C19" s="7"/>
      <c r="L19" s="14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80"/>
      <c r="AC19" s="80"/>
      <c r="AD19" s="80"/>
      <c r="AE19" s="80"/>
      <c r="AF19" s="80"/>
      <c r="AG19" s="80"/>
      <c r="AH19" s="80"/>
      <c r="AI19" s="80"/>
      <c r="AJ19" s="80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80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</row>
    <row r="20" spans="1:80" x14ac:dyDescent="0.2">
      <c r="A20" t="s">
        <v>214</v>
      </c>
      <c r="B20" s="8" t="s">
        <v>62</v>
      </c>
      <c r="C20" s="77">
        <f>COUNT(O:O)/D2</f>
        <v>50</v>
      </c>
      <c r="L20" s="14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80"/>
      <c r="AC20" s="80"/>
      <c r="AD20" s="80"/>
      <c r="AE20" s="80"/>
      <c r="AF20" s="80"/>
      <c r="AG20" s="80"/>
      <c r="AH20" s="80"/>
      <c r="AI20" s="80"/>
      <c r="AJ20" s="80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80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</row>
    <row r="21" spans="1:80" x14ac:dyDescent="0.2">
      <c r="B21" s="8" t="s">
        <v>64</v>
      </c>
      <c r="C21" s="7" t="str">
        <f>HLOOKUP("pattern",M38:CZ198,2,FALSE)</f>
        <v>/prefix/:ip/%level2-%06d[2]/%level3-%04d[6]/%level4-%04d[2]/%level5-%040d[100]/%level6-%040d[10]/%leaf7-%06d[5];[0-9]{10,30}</v>
      </c>
      <c r="L21" s="14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80"/>
      <c r="AC21" s="80"/>
      <c r="AD21" s="80"/>
      <c r="AE21" s="80"/>
      <c r="AF21" s="80"/>
      <c r="AG21" s="80"/>
      <c r="AH21" s="80"/>
      <c r="AI21" s="80"/>
      <c r="AJ21" s="80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80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</row>
    <row r="22" spans="1:80" x14ac:dyDescent="0.2">
      <c r="B22" s="26" t="s">
        <v>222</v>
      </c>
      <c r="C22" s="7">
        <f>HLOOKUP("clients",M38:CZ198,2,FALSE)</f>
        <v>20</v>
      </c>
      <c r="L22" s="14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80"/>
      <c r="AC22" s="80"/>
      <c r="AD22" s="80"/>
      <c r="AE22" s="80"/>
      <c r="AF22" s="80"/>
      <c r="AG22" s="80"/>
      <c r="AH22" s="80"/>
      <c r="AI22" s="80"/>
      <c r="AJ22" s="80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80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</row>
    <row r="23" spans="1:80" x14ac:dyDescent="0.2">
      <c r="B23" s="26" t="s">
        <v>223</v>
      </c>
      <c r="C23" s="7">
        <f>HLOOKUP("conns",M38:CZ198,2,FALSE)</f>
        <v>20</v>
      </c>
      <c r="L23" s="14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80"/>
      <c r="AC23" s="80"/>
      <c r="AD23" s="80"/>
      <c r="AE23" s="80"/>
      <c r="AF23" s="80"/>
      <c r="AG23" s="80"/>
      <c r="AH23" s="80"/>
      <c r="AI23" s="80"/>
      <c r="AJ23" s="80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80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</row>
    <row r="24" spans="1:80" x14ac:dyDescent="0.2">
      <c r="B24" s="7" t="s">
        <v>19</v>
      </c>
      <c r="C24" s="7" t="b">
        <f>HLOOKUP("serializable-gets",M38:CZ198,2,FALSE)</f>
        <v>0</v>
      </c>
      <c r="F24" s="5" t="s">
        <v>225</v>
      </c>
      <c r="L24" s="14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80"/>
      <c r="AC24" s="80"/>
      <c r="AD24" s="80"/>
      <c r="AE24" s="80"/>
      <c r="AF24" s="80"/>
      <c r="AG24" s="80"/>
      <c r="AH24" s="80"/>
      <c r="AI24" s="80"/>
      <c r="AJ24" s="80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80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</row>
    <row r="25" spans="1:80" x14ac:dyDescent="0.2">
      <c r="B25" s="8" t="s">
        <v>18</v>
      </c>
      <c r="C25" s="7">
        <f>HLOOKUP("put-rate",M38:CZ198,2,FALSE)</f>
        <v>244316</v>
      </c>
      <c r="D25" t="s">
        <v>217</v>
      </c>
      <c r="F25" t="s">
        <v>227</v>
      </c>
      <c r="L25" s="14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80"/>
      <c r="AC25" s="80"/>
      <c r="AD25" s="80"/>
      <c r="AE25" s="80"/>
      <c r="AF25" s="80"/>
      <c r="AG25" s="80"/>
      <c r="AH25" s="80"/>
      <c r="AI25" s="80"/>
      <c r="AJ25" s="80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80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</row>
    <row r="26" spans="1:80" x14ac:dyDescent="0.2">
      <c r="A26" t="s">
        <v>137</v>
      </c>
      <c r="B26" s="8" t="s">
        <v>67</v>
      </c>
      <c r="C26" s="7">
        <f>HLOOKUP("get-level",M38:CZ198,2,FALSE)</f>
        <v>7</v>
      </c>
      <c r="F26" t="s">
        <v>226</v>
      </c>
      <c r="L26" s="14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80"/>
      <c r="AC26" s="80"/>
      <c r="AD26" s="80"/>
      <c r="AE26" s="80"/>
      <c r="AF26" s="80"/>
      <c r="AG26" s="80"/>
      <c r="AH26" s="80"/>
      <c r="AI26" s="80"/>
      <c r="AJ26" s="80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80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</row>
    <row r="27" spans="1:80" x14ac:dyDescent="0.2">
      <c r="B27" s="8" t="s">
        <v>221</v>
      </c>
      <c r="C27" s="7">
        <f>HLOOKUP("get-rate",M38:CZ198,2,FALSE)</f>
        <v>450000</v>
      </c>
      <c r="L27" s="14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80"/>
      <c r="AC27" s="80"/>
      <c r="AD27" s="80"/>
      <c r="AE27" s="80"/>
      <c r="AF27" s="80"/>
      <c r="AG27" s="80"/>
      <c r="AH27" s="80"/>
      <c r="AI27" s="80"/>
      <c r="AJ27" s="80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80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</row>
    <row r="28" spans="1:80" x14ac:dyDescent="0.2">
      <c r="A28" t="s">
        <v>138</v>
      </c>
      <c r="B28" s="8" t="s">
        <v>68</v>
      </c>
      <c r="C28" s="7">
        <f>HLOOKUP("churn-level",M38:CZ198,2,FALSE)</f>
        <v>5</v>
      </c>
      <c r="L28" s="14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80"/>
      <c r="AC28" s="80"/>
      <c r="AD28" s="80"/>
      <c r="AE28" s="80"/>
      <c r="AF28" s="80"/>
      <c r="AG28" s="80"/>
      <c r="AH28" s="80"/>
      <c r="AI28" s="80"/>
      <c r="AJ28" s="80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80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</row>
    <row r="29" spans="1:80" x14ac:dyDescent="0.2">
      <c r="B29" s="8" t="s">
        <v>69</v>
      </c>
      <c r="C29" s="7">
        <f>HLOOKUP("churn-level-pct",M38:CZ198,2,FALSE)</f>
        <v>5</v>
      </c>
      <c r="L29" s="14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80"/>
      <c r="AC29" s="80"/>
      <c r="AD29" s="80"/>
      <c r="AE29" s="80"/>
      <c r="AF29" s="80"/>
      <c r="AG29" s="80"/>
      <c r="AH29" s="80"/>
      <c r="AI29" s="80"/>
      <c r="AJ29" s="80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80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</row>
    <row r="30" spans="1:80" x14ac:dyDescent="0.2">
      <c r="B30" s="8" t="s">
        <v>220</v>
      </c>
      <c r="C30" s="7">
        <f>HLOOKUP("churn-level-rate",M38:CZ198,2,FALSE)</f>
        <v>250</v>
      </c>
      <c r="D30" t="s">
        <v>217</v>
      </c>
      <c r="L30" s="14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80"/>
      <c r="AC30" s="80"/>
      <c r="AD30" s="80"/>
      <c r="AE30" s="80"/>
      <c r="AF30" s="80"/>
      <c r="AG30" s="80"/>
      <c r="AH30" s="80"/>
      <c r="AI30" s="80"/>
      <c r="AJ30" s="80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80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</row>
    <row r="31" spans="1:80" x14ac:dyDescent="0.2">
      <c r="A31" t="s">
        <v>139</v>
      </c>
      <c r="B31" s="8" t="s">
        <v>219</v>
      </c>
      <c r="C31" s="7">
        <f>HLOOKUP("churn-val-rate",M38:CZ198,2,FALSE)</f>
        <v>7920</v>
      </c>
      <c r="D31" t="s">
        <v>217</v>
      </c>
      <c r="L31" s="14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80"/>
      <c r="AC31" s="80"/>
      <c r="AD31" s="80"/>
      <c r="AE31" s="80"/>
      <c r="AF31" s="80"/>
      <c r="AG31" s="80"/>
      <c r="AH31" s="80"/>
      <c r="AI31" s="80"/>
      <c r="AJ31" s="80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80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</row>
    <row r="32" spans="1:80" x14ac:dyDescent="0.2">
      <c r="A32" t="s">
        <v>174</v>
      </c>
      <c r="B32" s="8" t="s">
        <v>159</v>
      </c>
      <c r="C32" s="7" t="str">
        <f>HLOOKUP("watch-counts-per-level",M38:CZ198,D2+1,FALSE)</f>
        <v>0,0,0,0,0,0,100,0</v>
      </c>
      <c r="L32" s="14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80"/>
      <c r="AC32" s="80"/>
      <c r="AD32" s="80"/>
      <c r="AE32" s="80"/>
      <c r="AF32" s="80"/>
      <c r="AG32" s="80"/>
      <c r="AH32" s="80"/>
      <c r="AI32" s="80"/>
      <c r="AJ32" s="80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80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</row>
    <row r="33" spans="1:80" x14ac:dyDescent="0.2">
      <c r="B33" s="8" t="s">
        <v>218</v>
      </c>
      <c r="C33" s="7" t="str">
        <f>HLOOKUP("watch-prefix-get-interval",M38:CZ198,D2+1,FALSE)</f>
        <v>30s</v>
      </c>
      <c r="L33" s="14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80"/>
      <c r="AC33" s="80"/>
      <c r="AD33" s="80"/>
      <c r="AE33" s="80"/>
      <c r="AF33" s="80"/>
      <c r="AG33" s="80"/>
      <c r="AH33" s="80"/>
      <c r="AI33" s="80"/>
      <c r="AJ33" s="80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80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</row>
    <row r="34" spans="1:80" x14ac:dyDescent="0.2">
      <c r="B34" s="7" t="s">
        <v>161</v>
      </c>
      <c r="C34" s="7" t="b">
        <f>HLOOKUP("watch-with-prefix",M38:CZ198,D2+1,FALSE)</f>
        <v>1</v>
      </c>
      <c r="L34" s="14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80"/>
      <c r="AC34" s="80"/>
      <c r="AD34" s="80"/>
      <c r="AE34" s="80"/>
      <c r="AF34" s="80"/>
      <c r="AG34" s="80"/>
      <c r="AH34" s="80"/>
      <c r="AI34" s="80"/>
      <c r="AJ34" s="80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80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</row>
    <row r="35" spans="1:80" x14ac:dyDescent="0.2">
      <c r="I35" s="2"/>
      <c r="L35" s="14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80"/>
      <c r="AC35" s="80"/>
      <c r="AD35" s="80"/>
      <c r="AE35" s="80"/>
      <c r="AF35" s="80"/>
      <c r="AG35" s="80"/>
      <c r="AH35" s="80"/>
      <c r="AI35" s="80"/>
      <c r="AJ35" s="80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80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</row>
    <row r="36" spans="1:80" x14ac:dyDescent="0.2">
      <c r="L36" s="14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80"/>
      <c r="AC36" s="80"/>
      <c r="AD36" s="80"/>
      <c r="AE36" s="80"/>
      <c r="AF36" s="80"/>
      <c r="AG36" s="80"/>
      <c r="AH36" s="80"/>
      <c r="AI36" s="80"/>
      <c r="AJ36" s="80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80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</row>
    <row r="37" spans="1:80" x14ac:dyDescent="0.2">
      <c r="L37" s="14"/>
      <c r="M37" s="130" t="s">
        <v>228</v>
      </c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79"/>
      <c r="AA37" s="79"/>
      <c r="AB37" s="80"/>
      <c r="AC37" s="80"/>
      <c r="AD37" s="80"/>
      <c r="AE37" s="80"/>
      <c r="AF37" s="80"/>
      <c r="AG37" s="80"/>
      <c r="AH37" s="80"/>
      <c r="AI37" s="80"/>
      <c r="AJ37" s="80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80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</row>
    <row r="38" spans="1:80" x14ac:dyDescent="0.2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M38" s="92" t="s">
        <v>0</v>
      </c>
      <c r="N38" t="s">
        <v>1</v>
      </c>
      <c r="O38" t="s">
        <v>2</v>
      </c>
      <c r="P38" t="s">
        <v>26</v>
      </c>
      <c r="Q38" t="s">
        <v>27</v>
      </c>
      <c r="R38" t="s">
        <v>28</v>
      </c>
      <c r="S38" t="s">
        <v>29</v>
      </c>
      <c r="T38" t="s">
        <v>30</v>
      </c>
      <c r="U38" t="s">
        <v>31</v>
      </c>
      <c r="V38" t="s">
        <v>32</v>
      </c>
      <c r="W38" t="s">
        <v>33</v>
      </c>
      <c r="X38" t="s">
        <v>34</v>
      </c>
      <c r="Y38" t="s">
        <v>35</v>
      </c>
      <c r="Z38" t="s">
        <v>36</v>
      </c>
      <c r="AA38" t="s">
        <v>37</v>
      </c>
      <c r="AB38" s="2" t="s">
        <v>229</v>
      </c>
      <c r="AC38" s="2" t="s">
        <v>230</v>
      </c>
      <c r="AD38" s="2" t="s">
        <v>231</v>
      </c>
      <c r="AE38" s="2" t="s">
        <v>232</v>
      </c>
      <c r="AF38" s="2" t="s">
        <v>233</v>
      </c>
      <c r="AG38" s="2" t="s">
        <v>234</v>
      </c>
      <c r="AH38" s="2" t="s">
        <v>235</v>
      </c>
      <c r="AI38" s="2" t="s">
        <v>236</v>
      </c>
      <c r="AJ38" s="2" t="s">
        <v>237</v>
      </c>
      <c r="AK38" t="s">
        <v>238</v>
      </c>
      <c r="AL38" t="s">
        <v>239</v>
      </c>
      <c r="AM38" t="s">
        <v>240</v>
      </c>
      <c r="AN38" t="s">
        <v>241</v>
      </c>
      <c r="AO38" t="s">
        <v>170</v>
      </c>
      <c r="AP38" t="s">
        <v>171</v>
      </c>
      <c r="AQ38" t="s">
        <v>162</v>
      </c>
      <c r="AR38" t="s">
        <v>163</v>
      </c>
      <c r="AS38" t="s">
        <v>164</v>
      </c>
      <c r="AT38" t="s">
        <v>195</v>
      </c>
      <c r="AU38" t="s">
        <v>196</v>
      </c>
      <c r="AV38" t="s">
        <v>197</v>
      </c>
      <c r="AW38" t="s">
        <v>198</v>
      </c>
      <c r="AX38" t="s">
        <v>242</v>
      </c>
      <c r="AY38" t="s">
        <v>243</v>
      </c>
      <c r="AZ38" t="s">
        <v>244</v>
      </c>
      <c r="BA38" t="s">
        <v>202</v>
      </c>
      <c r="BB38" t="s">
        <v>3</v>
      </c>
      <c r="BC38" t="s">
        <v>4</v>
      </c>
      <c r="BD38" t="s">
        <v>5</v>
      </c>
      <c r="BE38" t="s">
        <v>6</v>
      </c>
      <c r="BF38" t="s">
        <v>7</v>
      </c>
      <c r="BG38" t="s">
        <v>8</v>
      </c>
      <c r="BH38" s="2" t="s">
        <v>9</v>
      </c>
      <c r="BI38" t="s">
        <v>54</v>
      </c>
      <c r="BJ38" t="s">
        <v>10</v>
      </c>
      <c r="BK38" t="s">
        <v>11</v>
      </c>
      <c r="BL38" t="s">
        <v>12</v>
      </c>
      <c r="BM38" t="s">
        <v>13</v>
      </c>
      <c r="BN38" t="s">
        <v>14</v>
      </c>
      <c r="BO38" t="s">
        <v>15</v>
      </c>
      <c r="BP38" t="s">
        <v>16</v>
      </c>
      <c r="BQ38" t="s">
        <v>17</v>
      </c>
      <c r="BR38" t="s">
        <v>18</v>
      </c>
      <c r="BS38" t="s">
        <v>19</v>
      </c>
      <c r="BT38" t="s">
        <v>20</v>
      </c>
      <c r="BU38" t="s">
        <v>21</v>
      </c>
      <c r="BV38" t="s">
        <v>22</v>
      </c>
      <c r="BW38" t="s">
        <v>23</v>
      </c>
      <c r="BX38" t="s">
        <v>24</v>
      </c>
      <c r="BY38" t="s">
        <v>25</v>
      </c>
      <c r="BZ38" t="s">
        <v>159</v>
      </c>
      <c r="CA38" t="s">
        <v>160</v>
      </c>
      <c r="CB38" t="s">
        <v>161</v>
      </c>
    </row>
    <row r="39" spans="1:80" x14ac:dyDescent="0.2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M39" t="s">
        <v>40</v>
      </c>
      <c r="N39" s="1">
        <v>44246.605034722219</v>
      </c>
      <c r="O39">
        <v>7833601</v>
      </c>
      <c r="P39">
        <v>29216</v>
      </c>
      <c r="Q39">
        <v>3.7296</v>
      </c>
      <c r="R39">
        <v>15150</v>
      </c>
      <c r="S39">
        <v>1.9339999999999999</v>
      </c>
      <c r="T39">
        <v>303</v>
      </c>
      <c r="U39">
        <v>3.8699999999999998E-2</v>
      </c>
      <c r="V39">
        <v>648005</v>
      </c>
      <c r="W39">
        <v>82.721199999999996</v>
      </c>
      <c r="X39">
        <v>663085</v>
      </c>
      <c r="Y39">
        <v>84.646199999999993</v>
      </c>
      <c r="Z39">
        <v>120000</v>
      </c>
      <c r="AA39">
        <v>0</v>
      </c>
      <c r="AB39" s="2">
        <v>8308</v>
      </c>
      <c r="AC39" s="2">
        <v>5032</v>
      </c>
      <c r="AD39" s="2">
        <v>1066983</v>
      </c>
      <c r="AE39" s="2">
        <v>10043</v>
      </c>
      <c r="AF39" s="2">
        <v>5544</v>
      </c>
      <c r="AG39" s="2">
        <v>65712</v>
      </c>
      <c r="AH39" s="2">
        <v>11787</v>
      </c>
      <c r="AI39" s="2">
        <v>7912</v>
      </c>
      <c r="AJ39" s="2">
        <v>1355161</v>
      </c>
      <c r="AK39">
        <v>0</v>
      </c>
      <c r="AL39" s="2">
        <v>0</v>
      </c>
      <c r="AM39">
        <v>0</v>
      </c>
      <c r="AN39">
        <v>0</v>
      </c>
      <c r="AO39">
        <v>699.34</v>
      </c>
      <c r="AP39">
        <v>15509.42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</v>
      </c>
      <c r="BC39">
        <v>5</v>
      </c>
      <c r="BD39">
        <v>250</v>
      </c>
      <c r="BE39">
        <v>7920</v>
      </c>
      <c r="BF39">
        <v>60</v>
      </c>
      <c r="BG39">
        <v>20</v>
      </c>
      <c r="BH39" s="2">
        <v>20</v>
      </c>
      <c r="BI39" t="b">
        <v>1</v>
      </c>
      <c r="BJ39">
        <v>3</v>
      </c>
      <c r="BK39">
        <v>0</v>
      </c>
      <c r="BM39" t="b">
        <v>1</v>
      </c>
      <c r="BN39" t="b">
        <v>0</v>
      </c>
      <c r="BO39">
        <v>7</v>
      </c>
      <c r="BP39" s="2">
        <v>450000</v>
      </c>
      <c r="BQ39" t="s">
        <v>189</v>
      </c>
      <c r="BR39">
        <v>244316</v>
      </c>
      <c r="BS39" t="b">
        <v>0</v>
      </c>
      <c r="BT39" t="b">
        <v>0</v>
      </c>
      <c r="BU39">
        <v>300</v>
      </c>
      <c r="BV39" t="s">
        <v>39</v>
      </c>
      <c r="BW39">
        <v>0</v>
      </c>
      <c r="BX39" t="s">
        <v>190</v>
      </c>
      <c r="BY39" t="b">
        <v>0</v>
      </c>
      <c r="CA39" t="s">
        <v>165</v>
      </c>
      <c r="CB39" t="b">
        <v>0</v>
      </c>
    </row>
    <row r="40" spans="1:80" x14ac:dyDescent="0.2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M40" t="s">
        <v>40</v>
      </c>
      <c r="N40" s="1">
        <v>44246.58457175926</v>
      </c>
      <c r="O40">
        <v>9593829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120000</v>
      </c>
      <c r="AA40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>
        <v>0</v>
      </c>
      <c r="AL40" s="2">
        <v>0</v>
      </c>
      <c r="AM40">
        <v>0</v>
      </c>
      <c r="AN40">
        <v>0</v>
      </c>
      <c r="AO40">
        <v>0</v>
      </c>
      <c r="AP40">
        <v>0</v>
      </c>
      <c r="AQ40">
        <v>100</v>
      </c>
      <c r="AR40">
        <v>640</v>
      </c>
      <c r="AS40">
        <v>6.6699999999999995E-2</v>
      </c>
      <c r="AT40">
        <v>138905</v>
      </c>
      <c r="AU40">
        <v>14.4786</v>
      </c>
      <c r="AV40">
        <v>31884</v>
      </c>
      <c r="AW40">
        <v>3.3233999999999999</v>
      </c>
      <c r="AX40">
        <v>11089</v>
      </c>
      <c r="AY40">
        <v>4712</v>
      </c>
      <c r="AZ40">
        <v>794744</v>
      </c>
      <c r="BA40">
        <v>2715.88</v>
      </c>
      <c r="BB40">
        <v>1</v>
      </c>
      <c r="BC40">
        <v>10</v>
      </c>
      <c r="BD40">
        <v>-1</v>
      </c>
      <c r="BE40">
        <v>-1</v>
      </c>
      <c r="BF40">
        <v>60</v>
      </c>
      <c r="BG40">
        <v>20</v>
      </c>
      <c r="BH40" s="2">
        <v>20</v>
      </c>
      <c r="BI40" t="b">
        <v>1</v>
      </c>
      <c r="BJ40">
        <v>3</v>
      </c>
      <c r="BK40">
        <v>0</v>
      </c>
      <c r="BM40" t="b">
        <v>1</v>
      </c>
      <c r="BN40" t="b">
        <v>0</v>
      </c>
      <c r="BO40">
        <v>1</v>
      </c>
      <c r="BP40">
        <v>-1</v>
      </c>
      <c r="BQ40" t="s">
        <v>189</v>
      </c>
      <c r="BR40">
        <v>244316</v>
      </c>
      <c r="BS40" t="b">
        <v>0</v>
      </c>
      <c r="BT40" t="b">
        <v>1</v>
      </c>
      <c r="BU40">
        <v>300</v>
      </c>
      <c r="BV40" t="s">
        <v>39</v>
      </c>
      <c r="BW40">
        <v>0</v>
      </c>
      <c r="BX40" t="s">
        <v>166</v>
      </c>
      <c r="BY40" t="b">
        <v>0</v>
      </c>
      <c r="BZ40" t="s">
        <v>216</v>
      </c>
      <c r="CA40" t="s">
        <v>213</v>
      </c>
      <c r="CB40" t="b">
        <v>1</v>
      </c>
    </row>
    <row r="41" spans="1:80" x14ac:dyDescent="0.2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M41" t="s">
        <v>40</v>
      </c>
      <c r="N41" s="1">
        <v>44246.604745370372</v>
      </c>
      <c r="O41">
        <v>7862402</v>
      </c>
      <c r="P41">
        <v>29271</v>
      </c>
      <c r="Q41">
        <v>3.7229000000000001</v>
      </c>
      <c r="R41">
        <v>15250</v>
      </c>
      <c r="S41">
        <v>1.9396</v>
      </c>
      <c r="T41">
        <v>305</v>
      </c>
      <c r="U41">
        <v>3.8800000000000001E-2</v>
      </c>
      <c r="V41">
        <v>543110</v>
      </c>
      <c r="W41">
        <v>69.076899999999995</v>
      </c>
      <c r="X41">
        <v>555858</v>
      </c>
      <c r="Y41">
        <v>70.6982</v>
      </c>
      <c r="Z41">
        <v>120000</v>
      </c>
      <c r="AA41">
        <v>0</v>
      </c>
      <c r="AB41" s="2">
        <v>9484</v>
      </c>
      <c r="AC41" s="2">
        <v>3531</v>
      </c>
      <c r="AD41" s="2">
        <v>103479</v>
      </c>
      <c r="AE41" s="2">
        <v>8744</v>
      </c>
      <c r="AF41" s="2">
        <v>4225</v>
      </c>
      <c r="AG41" s="2">
        <v>48321</v>
      </c>
      <c r="AH41" s="2">
        <v>14112</v>
      </c>
      <c r="AI41" s="2">
        <v>8827</v>
      </c>
      <c r="AJ41" s="2">
        <v>333392</v>
      </c>
      <c r="AK41">
        <v>0</v>
      </c>
      <c r="AL41" s="2">
        <v>0</v>
      </c>
      <c r="AM41">
        <v>0</v>
      </c>
      <c r="AN41">
        <v>0</v>
      </c>
      <c r="AO41">
        <v>701.69</v>
      </c>
      <c r="AP41">
        <v>13020.55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5</v>
      </c>
      <c r="BC41">
        <v>5</v>
      </c>
      <c r="BD41">
        <v>250</v>
      </c>
      <c r="BE41">
        <v>7920</v>
      </c>
      <c r="BF41">
        <v>60</v>
      </c>
      <c r="BG41">
        <v>20</v>
      </c>
      <c r="BH41" s="2">
        <v>20</v>
      </c>
      <c r="BI41" t="b">
        <v>1</v>
      </c>
      <c r="BJ41">
        <v>3</v>
      </c>
      <c r="BK41">
        <v>0</v>
      </c>
      <c r="BM41" t="b">
        <v>1</v>
      </c>
      <c r="BN41" t="b">
        <v>0</v>
      </c>
      <c r="BO41">
        <v>7</v>
      </c>
      <c r="BP41" s="2">
        <v>450000</v>
      </c>
      <c r="BQ41" t="s">
        <v>189</v>
      </c>
      <c r="BR41">
        <v>244316</v>
      </c>
      <c r="BS41" t="b">
        <v>0</v>
      </c>
      <c r="BT41" t="b">
        <v>0</v>
      </c>
      <c r="BU41">
        <v>300</v>
      </c>
      <c r="BV41" t="s">
        <v>39</v>
      </c>
      <c r="BW41">
        <v>0</v>
      </c>
      <c r="BX41" t="s">
        <v>190</v>
      </c>
      <c r="BY41" t="b">
        <v>0</v>
      </c>
      <c r="CA41" t="s">
        <v>165</v>
      </c>
      <c r="CB41" t="b">
        <v>0</v>
      </c>
    </row>
    <row r="42" spans="1:80" x14ac:dyDescent="0.2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M42" t="s">
        <v>40</v>
      </c>
      <c r="N42" s="1">
        <v>44246.584293981483</v>
      </c>
      <c r="O42">
        <v>9618482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120000</v>
      </c>
      <c r="AA4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>
        <v>0</v>
      </c>
      <c r="AL42" s="2">
        <v>0</v>
      </c>
      <c r="AM42">
        <v>0</v>
      </c>
      <c r="AN42">
        <v>0</v>
      </c>
      <c r="AO42">
        <v>0</v>
      </c>
      <c r="AP42">
        <v>0</v>
      </c>
      <c r="AQ42">
        <v>100</v>
      </c>
      <c r="AR42">
        <v>653</v>
      </c>
      <c r="AS42">
        <v>6.7900000000000002E-2</v>
      </c>
      <c r="AT42">
        <v>140498</v>
      </c>
      <c r="AU42">
        <v>14.607100000000001</v>
      </c>
      <c r="AV42">
        <v>31967</v>
      </c>
      <c r="AW42">
        <v>3.3235000000000001</v>
      </c>
      <c r="AX42">
        <v>11954</v>
      </c>
      <c r="AY42">
        <v>3346</v>
      </c>
      <c r="AZ42">
        <v>463742</v>
      </c>
      <c r="BA42">
        <v>2752.38</v>
      </c>
      <c r="BB42">
        <v>1</v>
      </c>
      <c r="BC42">
        <v>10</v>
      </c>
      <c r="BD42">
        <v>-1</v>
      </c>
      <c r="BE42">
        <v>-1</v>
      </c>
      <c r="BF42">
        <v>60</v>
      </c>
      <c r="BG42">
        <v>20</v>
      </c>
      <c r="BH42" s="2">
        <v>20</v>
      </c>
      <c r="BI42" t="b">
        <v>1</v>
      </c>
      <c r="BJ42">
        <v>3</v>
      </c>
      <c r="BK42">
        <v>0</v>
      </c>
      <c r="BM42" t="b">
        <v>1</v>
      </c>
      <c r="BN42" t="b">
        <v>0</v>
      </c>
      <c r="BO42">
        <v>1</v>
      </c>
      <c r="BP42" s="2">
        <v>-1</v>
      </c>
      <c r="BQ42" t="s">
        <v>189</v>
      </c>
      <c r="BR42">
        <v>244316</v>
      </c>
      <c r="BS42" t="b">
        <v>0</v>
      </c>
      <c r="BT42" t="b">
        <v>1</v>
      </c>
      <c r="BU42">
        <v>300</v>
      </c>
      <c r="BV42" t="s">
        <v>39</v>
      </c>
      <c r="BW42">
        <v>0</v>
      </c>
      <c r="BX42" t="s">
        <v>166</v>
      </c>
      <c r="BY42" t="b">
        <v>0</v>
      </c>
      <c r="BZ42" t="s">
        <v>216</v>
      </c>
      <c r="CA42" t="s">
        <v>213</v>
      </c>
      <c r="CB42" t="b">
        <v>1</v>
      </c>
    </row>
    <row r="43" spans="1:80" x14ac:dyDescent="0.2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M43" t="s">
        <v>40</v>
      </c>
      <c r="N43" s="1">
        <v>44246.605034722219</v>
      </c>
      <c r="O43">
        <v>7833602</v>
      </c>
      <c r="P43">
        <v>29217</v>
      </c>
      <c r="Q43">
        <v>3.7296999999999998</v>
      </c>
      <c r="R43">
        <v>15150</v>
      </c>
      <c r="S43">
        <v>1.9339999999999999</v>
      </c>
      <c r="T43">
        <v>303</v>
      </c>
      <c r="U43">
        <v>3.8699999999999998E-2</v>
      </c>
      <c r="V43">
        <v>558416</v>
      </c>
      <c r="W43">
        <v>71.284700000000001</v>
      </c>
      <c r="X43">
        <v>571498</v>
      </c>
      <c r="Y43">
        <v>72.954700000000003</v>
      </c>
      <c r="Z43">
        <v>120000</v>
      </c>
      <c r="AA43">
        <v>0</v>
      </c>
      <c r="AB43" s="2">
        <v>8163</v>
      </c>
      <c r="AC43" s="2">
        <v>4669</v>
      </c>
      <c r="AD43" s="2">
        <v>758829</v>
      </c>
      <c r="AE43" s="2">
        <v>10771</v>
      </c>
      <c r="AF43" s="2">
        <v>5786</v>
      </c>
      <c r="AG43" s="2">
        <v>36609</v>
      </c>
      <c r="AH43" s="2">
        <v>13680</v>
      </c>
      <c r="AI43" s="2">
        <v>8663</v>
      </c>
      <c r="AJ43" s="2">
        <v>340824</v>
      </c>
      <c r="AK43">
        <v>0</v>
      </c>
      <c r="AL43" s="2">
        <v>0</v>
      </c>
      <c r="AM43">
        <v>0</v>
      </c>
      <c r="AN43">
        <v>0</v>
      </c>
      <c r="AO43">
        <v>699.3</v>
      </c>
      <c r="AP43">
        <v>13366.81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</v>
      </c>
      <c r="BC43">
        <v>5</v>
      </c>
      <c r="BD43">
        <v>250</v>
      </c>
      <c r="BE43">
        <v>7920</v>
      </c>
      <c r="BF43">
        <v>60</v>
      </c>
      <c r="BG43">
        <v>20</v>
      </c>
      <c r="BH43" s="2">
        <v>20</v>
      </c>
      <c r="BI43" t="b">
        <v>1</v>
      </c>
      <c r="BJ43">
        <v>3</v>
      </c>
      <c r="BK43">
        <v>0</v>
      </c>
      <c r="BM43" t="b">
        <v>1</v>
      </c>
      <c r="BN43" t="b">
        <v>0</v>
      </c>
      <c r="BO43">
        <v>7</v>
      </c>
      <c r="BP43" s="2">
        <v>450000</v>
      </c>
      <c r="BQ43" t="s">
        <v>189</v>
      </c>
      <c r="BR43">
        <v>244316</v>
      </c>
      <c r="BS43" t="b">
        <v>0</v>
      </c>
      <c r="BT43" t="b">
        <v>0</v>
      </c>
      <c r="BU43">
        <v>300</v>
      </c>
      <c r="BV43" t="s">
        <v>39</v>
      </c>
      <c r="BW43">
        <v>0</v>
      </c>
      <c r="BX43" t="s">
        <v>190</v>
      </c>
      <c r="BY43" t="b">
        <v>0</v>
      </c>
      <c r="CA43" t="s">
        <v>165</v>
      </c>
      <c r="CB43" t="b">
        <v>0</v>
      </c>
    </row>
    <row r="44" spans="1:80" x14ac:dyDescent="0.2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M44" t="s">
        <v>40</v>
      </c>
      <c r="N44" s="1">
        <v>44246.58457175926</v>
      </c>
      <c r="O44">
        <v>9594287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120000</v>
      </c>
      <c r="AA44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>
        <v>0</v>
      </c>
      <c r="AL44" s="2">
        <v>0</v>
      </c>
      <c r="AM44">
        <v>0</v>
      </c>
      <c r="AN44">
        <v>0</v>
      </c>
      <c r="AO44">
        <v>0</v>
      </c>
      <c r="AP44">
        <v>0</v>
      </c>
      <c r="AQ44">
        <v>100</v>
      </c>
      <c r="AR44">
        <v>640</v>
      </c>
      <c r="AS44">
        <v>6.6699999999999995E-2</v>
      </c>
      <c r="AT44">
        <v>142471</v>
      </c>
      <c r="AU44">
        <v>14.849600000000001</v>
      </c>
      <c r="AV44">
        <v>31882</v>
      </c>
      <c r="AW44">
        <v>3.323</v>
      </c>
      <c r="AX44">
        <v>11146</v>
      </c>
      <c r="AY44">
        <v>4466</v>
      </c>
      <c r="AZ44">
        <v>1163676</v>
      </c>
      <c r="BA44">
        <v>2788.09</v>
      </c>
      <c r="BB44">
        <v>1</v>
      </c>
      <c r="BC44">
        <v>10</v>
      </c>
      <c r="BD44">
        <v>-1</v>
      </c>
      <c r="BE44">
        <v>-1</v>
      </c>
      <c r="BF44">
        <v>60</v>
      </c>
      <c r="BG44">
        <v>20</v>
      </c>
      <c r="BH44" s="2">
        <v>20</v>
      </c>
      <c r="BI44" t="b">
        <v>1</v>
      </c>
      <c r="BJ44">
        <v>3</v>
      </c>
      <c r="BK44">
        <v>0</v>
      </c>
      <c r="BM44" t="b">
        <v>1</v>
      </c>
      <c r="BN44" t="b">
        <v>0</v>
      </c>
      <c r="BO44">
        <v>1</v>
      </c>
      <c r="BP44" s="2">
        <v>-1</v>
      </c>
      <c r="BQ44" t="s">
        <v>189</v>
      </c>
      <c r="BR44">
        <v>244316</v>
      </c>
      <c r="BS44" t="b">
        <v>0</v>
      </c>
      <c r="BT44" t="b">
        <v>1</v>
      </c>
      <c r="BU44">
        <v>300</v>
      </c>
      <c r="BV44" t="s">
        <v>39</v>
      </c>
      <c r="BW44">
        <v>0</v>
      </c>
      <c r="BX44" t="s">
        <v>166</v>
      </c>
      <c r="BY44" t="b">
        <v>0</v>
      </c>
      <c r="BZ44" t="s">
        <v>216</v>
      </c>
      <c r="CA44" t="s">
        <v>213</v>
      </c>
      <c r="CB44" t="b">
        <v>1</v>
      </c>
    </row>
    <row r="45" spans="1:80" x14ac:dyDescent="0.2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M45" t="s">
        <v>40</v>
      </c>
      <c r="N45" s="1">
        <v>44246.604722222219</v>
      </c>
      <c r="O45">
        <v>7862402</v>
      </c>
      <c r="P45">
        <v>29276</v>
      </c>
      <c r="Q45">
        <v>3.7235</v>
      </c>
      <c r="R45">
        <v>15250</v>
      </c>
      <c r="S45">
        <v>1.9396</v>
      </c>
      <c r="T45">
        <v>305</v>
      </c>
      <c r="U45">
        <v>3.8800000000000001E-2</v>
      </c>
      <c r="V45">
        <v>843890</v>
      </c>
      <c r="W45">
        <v>107.3323</v>
      </c>
      <c r="X45">
        <v>863973</v>
      </c>
      <c r="Y45">
        <v>109.8866</v>
      </c>
      <c r="Z45">
        <v>120000</v>
      </c>
      <c r="AA45">
        <v>0</v>
      </c>
      <c r="AB45" s="2">
        <v>10896</v>
      </c>
      <c r="AC45" s="2">
        <v>3659</v>
      </c>
      <c r="AD45" s="2">
        <v>219884</v>
      </c>
      <c r="AE45" s="2">
        <v>11304</v>
      </c>
      <c r="AF45" s="2">
        <v>4278</v>
      </c>
      <c r="AG45" s="2">
        <v>441062</v>
      </c>
      <c r="AH45" s="2">
        <v>9077</v>
      </c>
      <c r="AI45" s="2">
        <v>6392</v>
      </c>
      <c r="AJ45" s="2">
        <v>174154</v>
      </c>
      <c r="AK45">
        <v>0</v>
      </c>
      <c r="AL45" s="2">
        <v>0</v>
      </c>
      <c r="AM45">
        <v>0</v>
      </c>
      <c r="AN45">
        <v>0</v>
      </c>
      <c r="AO45">
        <v>702.01</v>
      </c>
      <c r="AP45">
        <v>20229.97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5</v>
      </c>
      <c r="BC45">
        <v>5</v>
      </c>
      <c r="BD45">
        <v>250</v>
      </c>
      <c r="BE45">
        <v>7920</v>
      </c>
      <c r="BF45">
        <v>60</v>
      </c>
      <c r="BG45">
        <v>20</v>
      </c>
      <c r="BH45" s="2">
        <v>20</v>
      </c>
      <c r="BI45" t="b">
        <v>1</v>
      </c>
      <c r="BJ45">
        <v>3</v>
      </c>
      <c r="BK45">
        <v>0</v>
      </c>
      <c r="BM45" t="b">
        <v>1</v>
      </c>
      <c r="BN45" t="b">
        <v>0</v>
      </c>
      <c r="BO45">
        <v>7</v>
      </c>
      <c r="BP45" s="2">
        <v>450000</v>
      </c>
      <c r="BQ45" t="s">
        <v>189</v>
      </c>
      <c r="BR45">
        <v>244316</v>
      </c>
      <c r="BS45" t="b">
        <v>0</v>
      </c>
      <c r="BT45" t="b">
        <v>0</v>
      </c>
      <c r="BU45">
        <v>300</v>
      </c>
      <c r="BV45" t="s">
        <v>39</v>
      </c>
      <c r="BW45">
        <v>0</v>
      </c>
      <c r="BX45" t="s">
        <v>190</v>
      </c>
      <c r="BY45" t="b">
        <v>0</v>
      </c>
      <c r="CA45" t="s">
        <v>165</v>
      </c>
      <c r="CB45" t="b">
        <v>0</v>
      </c>
    </row>
    <row r="46" spans="1:80" x14ac:dyDescent="0.2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M46" t="s">
        <v>40</v>
      </c>
      <c r="N46" s="1">
        <v>44246.58425925926</v>
      </c>
      <c r="O46">
        <v>9621085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120000</v>
      </c>
      <c r="AA46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>
        <v>0</v>
      </c>
      <c r="AL46" s="2">
        <v>0</v>
      </c>
      <c r="AM46">
        <v>0</v>
      </c>
      <c r="AN46">
        <v>0</v>
      </c>
      <c r="AO46">
        <v>0</v>
      </c>
      <c r="AP46">
        <v>0</v>
      </c>
      <c r="AQ46">
        <v>100</v>
      </c>
      <c r="AR46">
        <v>630</v>
      </c>
      <c r="AS46">
        <v>6.5500000000000003E-2</v>
      </c>
      <c r="AT46">
        <v>141109</v>
      </c>
      <c r="AU46">
        <v>14.666600000000001</v>
      </c>
      <c r="AV46">
        <v>31961</v>
      </c>
      <c r="AW46">
        <v>3.3220000000000001</v>
      </c>
      <c r="AX46">
        <v>11822</v>
      </c>
      <c r="AY46">
        <v>3329</v>
      </c>
      <c r="AZ46">
        <v>1083597</v>
      </c>
      <c r="BA46">
        <v>2758.74</v>
      </c>
      <c r="BB46">
        <v>1</v>
      </c>
      <c r="BC46">
        <v>10</v>
      </c>
      <c r="BD46">
        <v>-1</v>
      </c>
      <c r="BE46">
        <v>-1</v>
      </c>
      <c r="BF46">
        <v>60</v>
      </c>
      <c r="BG46">
        <v>20</v>
      </c>
      <c r="BH46" s="2">
        <v>20</v>
      </c>
      <c r="BI46" t="b">
        <v>1</v>
      </c>
      <c r="BJ46">
        <v>3</v>
      </c>
      <c r="BK46">
        <v>0</v>
      </c>
      <c r="BM46" t="b">
        <v>1</v>
      </c>
      <c r="BN46" t="b">
        <v>0</v>
      </c>
      <c r="BO46">
        <v>1</v>
      </c>
      <c r="BP46" s="2">
        <v>-1</v>
      </c>
      <c r="BQ46" t="s">
        <v>189</v>
      </c>
      <c r="BR46">
        <v>244316</v>
      </c>
      <c r="BS46" t="b">
        <v>0</v>
      </c>
      <c r="BT46" t="b">
        <v>1</v>
      </c>
      <c r="BU46">
        <v>300</v>
      </c>
      <c r="BV46" t="s">
        <v>39</v>
      </c>
      <c r="BW46">
        <v>0</v>
      </c>
      <c r="BX46" t="s">
        <v>166</v>
      </c>
      <c r="BY46" t="b">
        <v>0</v>
      </c>
      <c r="BZ46" t="s">
        <v>216</v>
      </c>
      <c r="CA46" t="s">
        <v>213</v>
      </c>
      <c r="CB46" t="b">
        <v>1</v>
      </c>
    </row>
    <row r="47" spans="1:80" x14ac:dyDescent="0.2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M47" t="s">
        <v>40</v>
      </c>
      <c r="N47" s="1">
        <v>44246.604722222219</v>
      </c>
      <c r="O47">
        <v>7862402</v>
      </c>
      <c r="P47">
        <v>29276</v>
      </c>
      <c r="Q47">
        <v>3.7235</v>
      </c>
      <c r="R47">
        <v>15250</v>
      </c>
      <c r="S47">
        <v>1.9396</v>
      </c>
      <c r="T47">
        <v>305</v>
      </c>
      <c r="U47">
        <v>3.8800000000000001E-2</v>
      </c>
      <c r="V47">
        <v>913182</v>
      </c>
      <c r="W47">
        <v>116.1454</v>
      </c>
      <c r="X47">
        <v>934953</v>
      </c>
      <c r="Y47">
        <v>118.9144</v>
      </c>
      <c r="Z47">
        <v>120000</v>
      </c>
      <c r="AA47">
        <v>0</v>
      </c>
      <c r="AB47" s="2">
        <v>13445</v>
      </c>
      <c r="AC47" s="2">
        <v>5563</v>
      </c>
      <c r="AD47" s="2">
        <v>1136033</v>
      </c>
      <c r="AE47" s="2">
        <v>11221</v>
      </c>
      <c r="AF47" s="2">
        <v>5593</v>
      </c>
      <c r="AG47" s="2">
        <v>48067</v>
      </c>
      <c r="AH47" s="2">
        <v>8352</v>
      </c>
      <c r="AI47" s="2">
        <v>4940</v>
      </c>
      <c r="AJ47" s="2">
        <v>174142</v>
      </c>
      <c r="AK47">
        <v>0</v>
      </c>
      <c r="AL47" s="2">
        <v>0</v>
      </c>
      <c r="AM47">
        <v>0</v>
      </c>
      <c r="AN47">
        <v>0</v>
      </c>
      <c r="AO47">
        <v>694.44</v>
      </c>
      <c r="AP47">
        <v>21660.2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</v>
      </c>
      <c r="BC47">
        <v>5</v>
      </c>
      <c r="BD47">
        <v>250</v>
      </c>
      <c r="BE47">
        <v>7920</v>
      </c>
      <c r="BF47">
        <v>60</v>
      </c>
      <c r="BG47">
        <v>20</v>
      </c>
      <c r="BH47" s="2">
        <v>20</v>
      </c>
      <c r="BI47" t="b">
        <v>1</v>
      </c>
      <c r="BJ47">
        <v>3</v>
      </c>
      <c r="BK47">
        <v>0</v>
      </c>
      <c r="BM47" t="b">
        <v>1</v>
      </c>
      <c r="BN47" t="b">
        <v>0</v>
      </c>
      <c r="BO47">
        <v>7</v>
      </c>
      <c r="BP47" s="2">
        <v>450000</v>
      </c>
      <c r="BQ47" t="s">
        <v>189</v>
      </c>
      <c r="BR47">
        <v>244316</v>
      </c>
      <c r="BS47" t="b">
        <v>0</v>
      </c>
      <c r="BT47" t="b">
        <v>0</v>
      </c>
      <c r="BU47">
        <v>300</v>
      </c>
      <c r="BV47" t="s">
        <v>39</v>
      </c>
      <c r="BW47">
        <v>0</v>
      </c>
      <c r="BX47" t="s">
        <v>190</v>
      </c>
      <c r="BY47" t="b">
        <v>0</v>
      </c>
      <c r="CA47" t="s">
        <v>165</v>
      </c>
      <c r="CB47" t="b">
        <v>0</v>
      </c>
    </row>
    <row r="48" spans="1:80" x14ac:dyDescent="0.2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M48" t="s">
        <v>40</v>
      </c>
      <c r="N48" s="1">
        <v>44246.58425925926</v>
      </c>
      <c r="O48">
        <v>9620919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120000</v>
      </c>
      <c r="AA48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>
        <v>0</v>
      </c>
      <c r="AL48" s="2">
        <v>0</v>
      </c>
      <c r="AM48">
        <v>0</v>
      </c>
      <c r="AN48">
        <v>0</v>
      </c>
      <c r="AO48">
        <v>0</v>
      </c>
      <c r="AP48">
        <v>0</v>
      </c>
      <c r="AQ48">
        <v>100</v>
      </c>
      <c r="AR48">
        <v>616</v>
      </c>
      <c r="AS48">
        <v>6.4000000000000001E-2</v>
      </c>
      <c r="AT48">
        <v>145290</v>
      </c>
      <c r="AU48">
        <v>15.1015</v>
      </c>
      <c r="AV48">
        <v>31970</v>
      </c>
      <c r="AW48">
        <v>3.323</v>
      </c>
      <c r="AX48">
        <v>11510</v>
      </c>
      <c r="AY48">
        <v>4822</v>
      </c>
      <c r="AZ48">
        <v>1302955</v>
      </c>
      <c r="BA48">
        <v>2816</v>
      </c>
      <c r="BB48">
        <v>1</v>
      </c>
      <c r="BC48">
        <v>10</v>
      </c>
      <c r="BD48">
        <v>-1</v>
      </c>
      <c r="BE48">
        <v>-1</v>
      </c>
      <c r="BF48">
        <v>60</v>
      </c>
      <c r="BG48">
        <v>20</v>
      </c>
      <c r="BH48" s="2">
        <v>20</v>
      </c>
      <c r="BI48" t="b">
        <v>1</v>
      </c>
      <c r="BJ48">
        <v>3</v>
      </c>
      <c r="BK48">
        <v>0</v>
      </c>
      <c r="BM48" t="b">
        <v>1</v>
      </c>
      <c r="BN48" t="b">
        <v>0</v>
      </c>
      <c r="BO48">
        <v>1</v>
      </c>
      <c r="BP48" s="2">
        <v>-1</v>
      </c>
      <c r="BQ48" t="s">
        <v>189</v>
      </c>
      <c r="BR48">
        <v>244316</v>
      </c>
      <c r="BS48" t="b">
        <v>0</v>
      </c>
      <c r="BT48" t="b">
        <v>1</v>
      </c>
      <c r="BU48">
        <v>300</v>
      </c>
      <c r="BV48" t="s">
        <v>39</v>
      </c>
      <c r="BW48">
        <v>0</v>
      </c>
      <c r="BX48" t="s">
        <v>166</v>
      </c>
      <c r="BY48" t="b">
        <v>0</v>
      </c>
      <c r="BZ48" t="s">
        <v>216</v>
      </c>
      <c r="CA48" t="s">
        <v>213</v>
      </c>
      <c r="CB48" t="b">
        <v>1</v>
      </c>
    </row>
    <row r="49" spans="1:80" x14ac:dyDescent="0.2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M49" t="s">
        <v>40</v>
      </c>
      <c r="N49" s="1">
        <v>44246.604745370372</v>
      </c>
      <c r="O49">
        <v>7862402</v>
      </c>
      <c r="P49">
        <v>29272</v>
      </c>
      <c r="Q49">
        <v>3.7229999999999999</v>
      </c>
      <c r="R49">
        <v>15250</v>
      </c>
      <c r="S49">
        <v>1.9396</v>
      </c>
      <c r="T49">
        <v>305</v>
      </c>
      <c r="U49">
        <v>3.8800000000000001E-2</v>
      </c>
      <c r="V49">
        <v>840920</v>
      </c>
      <c r="W49">
        <v>106.9546</v>
      </c>
      <c r="X49">
        <v>860798</v>
      </c>
      <c r="Y49">
        <v>109.4828</v>
      </c>
      <c r="Z49">
        <v>120000</v>
      </c>
      <c r="AA49">
        <v>0</v>
      </c>
      <c r="AB49" s="2">
        <v>10669</v>
      </c>
      <c r="AC49" s="2">
        <v>3388</v>
      </c>
      <c r="AD49" s="2">
        <v>1330971</v>
      </c>
      <c r="AE49" s="2">
        <v>10229</v>
      </c>
      <c r="AF49" s="2">
        <v>3815</v>
      </c>
      <c r="AG49" s="2">
        <v>39759</v>
      </c>
      <c r="AH49" s="2">
        <v>9111</v>
      </c>
      <c r="AI49" s="2">
        <v>6568</v>
      </c>
      <c r="AJ49" s="2">
        <v>177564</v>
      </c>
      <c r="AK49">
        <v>0</v>
      </c>
      <c r="AL49" s="2">
        <v>0</v>
      </c>
      <c r="AM49">
        <v>0</v>
      </c>
      <c r="AN49">
        <v>0</v>
      </c>
      <c r="AO49">
        <v>701.91</v>
      </c>
      <c r="AP49">
        <v>20161.75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</v>
      </c>
      <c r="BC49">
        <v>5</v>
      </c>
      <c r="BD49">
        <v>250</v>
      </c>
      <c r="BE49">
        <v>7920</v>
      </c>
      <c r="BF49">
        <v>60</v>
      </c>
      <c r="BG49">
        <v>20</v>
      </c>
      <c r="BH49" s="2">
        <v>20</v>
      </c>
      <c r="BI49" t="b">
        <v>1</v>
      </c>
      <c r="BJ49">
        <v>3</v>
      </c>
      <c r="BK49">
        <v>0</v>
      </c>
      <c r="BM49" t="b">
        <v>1</v>
      </c>
      <c r="BN49" t="b">
        <v>0</v>
      </c>
      <c r="BO49">
        <v>7</v>
      </c>
      <c r="BP49" s="2">
        <v>450000</v>
      </c>
      <c r="BQ49" t="s">
        <v>189</v>
      </c>
      <c r="BR49">
        <v>244316</v>
      </c>
      <c r="BS49" t="b">
        <v>0</v>
      </c>
      <c r="BT49" t="b">
        <v>0</v>
      </c>
      <c r="BU49">
        <v>300</v>
      </c>
      <c r="BV49" t="s">
        <v>39</v>
      </c>
      <c r="BW49">
        <v>0</v>
      </c>
      <c r="BX49" t="s">
        <v>190</v>
      </c>
      <c r="BY49" t="b">
        <v>0</v>
      </c>
      <c r="CA49" t="s">
        <v>165</v>
      </c>
      <c r="CB49" t="b">
        <v>0</v>
      </c>
    </row>
    <row r="50" spans="1:80" x14ac:dyDescent="0.2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M50" t="s">
        <v>40</v>
      </c>
      <c r="N50" s="1">
        <v>44246.584282407406</v>
      </c>
      <c r="O50">
        <v>9619300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120000</v>
      </c>
      <c r="AA50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>
        <v>0</v>
      </c>
      <c r="AL50" s="2">
        <v>0</v>
      </c>
      <c r="AM50">
        <v>0</v>
      </c>
      <c r="AN50">
        <v>0</v>
      </c>
      <c r="AO50">
        <v>0</v>
      </c>
      <c r="AP50">
        <v>0</v>
      </c>
      <c r="AQ50">
        <v>100</v>
      </c>
      <c r="AR50">
        <v>627</v>
      </c>
      <c r="AS50">
        <v>6.5199999999999994E-2</v>
      </c>
      <c r="AT50">
        <v>143675</v>
      </c>
      <c r="AU50">
        <v>14.9361</v>
      </c>
      <c r="AV50">
        <v>31962</v>
      </c>
      <c r="AW50">
        <v>3.3227000000000002</v>
      </c>
      <c r="AX50">
        <v>11360</v>
      </c>
      <c r="AY50">
        <v>3668</v>
      </c>
      <c r="AZ50">
        <v>881092</v>
      </c>
      <c r="BA50">
        <v>2806.25</v>
      </c>
      <c r="BB50">
        <v>1</v>
      </c>
      <c r="BC50">
        <v>10</v>
      </c>
      <c r="BD50">
        <v>-1</v>
      </c>
      <c r="BE50">
        <v>-1</v>
      </c>
      <c r="BF50">
        <v>60</v>
      </c>
      <c r="BG50">
        <v>20</v>
      </c>
      <c r="BH50" s="2">
        <v>20</v>
      </c>
      <c r="BI50" t="b">
        <v>1</v>
      </c>
      <c r="BJ50">
        <v>3</v>
      </c>
      <c r="BK50">
        <v>0</v>
      </c>
      <c r="BM50" t="b">
        <v>1</v>
      </c>
      <c r="BN50" t="b">
        <v>0</v>
      </c>
      <c r="BO50">
        <v>1</v>
      </c>
      <c r="BP50" s="2">
        <v>-1</v>
      </c>
      <c r="BQ50" t="s">
        <v>189</v>
      </c>
      <c r="BR50">
        <v>244316</v>
      </c>
      <c r="BS50" t="b">
        <v>0</v>
      </c>
      <c r="BT50" t="b">
        <v>1</v>
      </c>
      <c r="BU50">
        <v>300</v>
      </c>
      <c r="BV50" t="s">
        <v>39</v>
      </c>
      <c r="BW50">
        <v>0</v>
      </c>
      <c r="BX50" t="s">
        <v>166</v>
      </c>
      <c r="BY50" t="b">
        <v>0</v>
      </c>
      <c r="BZ50" t="s">
        <v>216</v>
      </c>
      <c r="CA50" t="s">
        <v>213</v>
      </c>
      <c r="CB50" t="b">
        <v>1</v>
      </c>
    </row>
    <row r="51" spans="1:80" x14ac:dyDescent="0.2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M51" t="s">
        <v>40</v>
      </c>
      <c r="N51" s="1">
        <v>44246.604722222219</v>
      </c>
      <c r="O51">
        <v>7862402</v>
      </c>
      <c r="P51">
        <v>29276</v>
      </c>
      <c r="Q51">
        <v>3.7235</v>
      </c>
      <c r="R51">
        <v>15250</v>
      </c>
      <c r="S51">
        <v>1.9396</v>
      </c>
      <c r="T51">
        <v>305</v>
      </c>
      <c r="U51">
        <v>3.8800000000000001E-2</v>
      </c>
      <c r="V51">
        <v>650385</v>
      </c>
      <c r="W51">
        <v>82.7209</v>
      </c>
      <c r="X51">
        <v>665759</v>
      </c>
      <c r="Y51">
        <v>84.676299999999998</v>
      </c>
      <c r="Z51">
        <v>120000</v>
      </c>
      <c r="AA51">
        <v>0</v>
      </c>
      <c r="AB51" s="2">
        <v>10854</v>
      </c>
      <c r="AC51" s="2">
        <v>4636</v>
      </c>
      <c r="AD51" s="2">
        <v>103948</v>
      </c>
      <c r="AE51" s="2">
        <v>10357</v>
      </c>
      <c r="AF51" s="2">
        <v>4415</v>
      </c>
      <c r="AG51" s="2">
        <v>47330</v>
      </c>
      <c r="AH51" s="2">
        <v>11783</v>
      </c>
      <c r="AI51" s="2">
        <v>7694</v>
      </c>
      <c r="AJ51" s="2">
        <v>1355373</v>
      </c>
      <c r="AK51">
        <v>0</v>
      </c>
      <c r="AL51" s="2">
        <v>0</v>
      </c>
      <c r="AM51">
        <v>0</v>
      </c>
      <c r="AN51">
        <v>0</v>
      </c>
      <c r="AO51">
        <v>698.33</v>
      </c>
      <c r="AP51">
        <v>15510.57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</v>
      </c>
      <c r="BC51">
        <v>5</v>
      </c>
      <c r="BD51">
        <v>250</v>
      </c>
      <c r="BE51">
        <v>7920</v>
      </c>
      <c r="BF51">
        <v>60</v>
      </c>
      <c r="BG51">
        <v>20</v>
      </c>
      <c r="BH51" s="2">
        <v>20</v>
      </c>
      <c r="BI51" t="b">
        <v>1</v>
      </c>
      <c r="BJ51">
        <v>3</v>
      </c>
      <c r="BK51">
        <v>0</v>
      </c>
      <c r="BM51" t="b">
        <v>1</v>
      </c>
      <c r="BN51" t="b">
        <v>0</v>
      </c>
      <c r="BO51">
        <v>7</v>
      </c>
      <c r="BP51" s="2">
        <v>450000</v>
      </c>
      <c r="BQ51" t="s">
        <v>189</v>
      </c>
      <c r="BR51">
        <v>244316</v>
      </c>
      <c r="BS51" t="b">
        <v>0</v>
      </c>
      <c r="BT51" t="b">
        <v>0</v>
      </c>
      <c r="BU51">
        <v>300</v>
      </c>
      <c r="BV51" t="s">
        <v>39</v>
      </c>
      <c r="BW51">
        <v>0</v>
      </c>
      <c r="BX51" t="s">
        <v>190</v>
      </c>
      <c r="BY51" t="b">
        <v>0</v>
      </c>
      <c r="CA51" t="s">
        <v>165</v>
      </c>
      <c r="CB51" t="b">
        <v>0</v>
      </c>
    </row>
    <row r="52" spans="1:80" x14ac:dyDescent="0.2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M52" t="s">
        <v>40</v>
      </c>
      <c r="N52" s="1">
        <v>44246.58425925926</v>
      </c>
      <c r="O52">
        <v>9620892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120000</v>
      </c>
      <c r="AA5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>
        <v>0</v>
      </c>
      <c r="AL52" s="2">
        <v>0</v>
      </c>
      <c r="AM52">
        <v>0</v>
      </c>
      <c r="AN52">
        <v>0</v>
      </c>
      <c r="AO52">
        <v>0</v>
      </c>
      <c r="AP52">
        <v>0</v>
      </c>
      <c r="AQ52">
        <v>100</v>
      </c>
      <c r="AR52">
        <v>605</v>
      </c>
      <c r="AS52">
        <v>6.2899999999999998E-2</v>
      </c>
      <c r="AT52">
        <v>143410</v>
      </c>
      <c r="AU52">
        <v>14.9061</v>
      </c>
      <c r="AV52">
        <v>31968</v>
      </c>
      <c r="AW52">
        <v>3.3228</v>
      </c>
      <c r="AX52">
        <v>11250</v>
      </c>
      <c r="AY52">
        <v>3007</v>
      </c>
      <c r="AZ52">
        <v>949322</v>
      </c>
      <c r="BA52">
        <v>2796.3</v>
      </c>
      <c r="BB52">
        <v>1</v>
      </c>
      <c r="BC52">
        <v>10</v>
      </c>
      <c r="BD52">
        <v>-1</v>
      </c>
      <c r="BE52">
        <v>-1</v>
      </c>
      <c r="BF52">
        <v>60</v>
      </c>
      <c r="BG52">
        <v>20</v>
      </c>
      <c r="BH52" s="2">
        <v>20</v>
      </c>
      <c r="BI52" t="b">
        <v>1</v>
      </c>
      <c r="BJ52">
        <v>3</v>
      </c>
      <c r="BK52">
        <v>0</v>
      </c>
      <c r="BM52" t="b">
        <v>1</v>
      </c>
      <c r="BN52" t="b">
        <v>0</v>
      </c>
      <c r="BO52">
        <v>1</v>
      </c>
      <c r="BP52" s="2">
        <v>-1</v>
      </c>
      <c r="BQ52" t="s">
        <v>189</v>
      </c>
      <c r="BR52">
        <v>244316</v>
      </c>
      <c r="BS52" t="b">
        <v>0</v>
      </c>
      <c r="BT52" t="b">
        <v>1</v>
      </c>
      <c r="BU52">
        <v>300</v>
      </c>
      <c r="BV52" t="s">
        <v>39</v>
      </c>
      <c r="BW52">
        <v>0</v>
      </c>
      <c r="BX52" t="s">
        <v>166</v>
      </c>
      <c r="BY52" t="b">
        <v>0</v>
      </c>
      <c r="BZ52" t="s">
        <v>216</v>
      </c>
      <c r="CA52" t="s">
        <v>213</v>
      </c>
      <c r="CB52" t="b">
        <v>1</v>
      </c>
    </row>
    <row r="53" spans="1:80" x14ac:dyDescent="0.2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M53" t="s">
        <v>40</v>
      </c>
      <c r="N53" s="1">
        <v>44246.604722222219</v>
      </c>
      <c r="O53">
        <v>7862403</v>
      </c>
      <c r="P53">
        <v>29276</v>
      </c>
      <c r="Q53">
        <v>3.7235</v>
      </c>
      <c r="R53">
        <v>15250</v>
      </c>
      <c r="S53">
        <v>1.9396</v>
      </c>
      <c r="T53">
        <v>305</v>
      </c>
      <c r="U53">
        <v>3.8800000000000001E-2</v>
      </c>
      <c r="V53">
        <v>945923</v>
      </c>
      <c r="W53">
        <v>120.30970000000001</v>
      </c>
      <c r="X53">
        <v>968277</v>
      </c>
      <c r="Y53">
        <v>123.1528</v>
      </c>
      <c r="Z53">
        <v>120000</v>
      </c>
      <c r="AA53">
        <v>0</v>
      </c>
      <c r="AB53" s="2">
        <v>11039</v>
      </c>
      <c r="AC53" s="2">
        <v>4903</v>
      </c>
      <c r="AD53" s="2">
        <v>1265470</v>
      </c>
      <c r="AE53" s="2">
        <v>10288</v>
      </c>
      <c r="AF53" s="2">
        <v>5642</v>
      </c>
      <c r="AG53" s="2">
        <v>50735</v>
      </c>
      <c r="AH53" s="2">
        <v>7445</v>
      </c>
      <c r="AI53" s="2">
        <v>4571</v>
      </c>
      <c r="AJ53" s="2">
        <v>103076</v>
      </c>
      <c r="AK53">
        <v>0</v>
      </c>
      <c r="AL53" s="2">
        <v>0</v>
      </c>
      <c r="AM53">
        <v>0</v>
      </c>
      <c r="AN53">
        <v>0</v>
      </c>
      <c r="AO53">
        <v>694.58</v>
      </c>
      <c r="AP53">
        <v>22435.040000000001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</v>
      </c>
      <c r="BC53">
        <v>5</v>
      </c>
      <c r="BD53">
        <v>250</v>
      </c>
      <c r="BE53">
        <v>7920</v>
      </c>
      <c r="BF53">
        <v>60</v>
      </c>
      <c r="BG53">
        <v>20</v>
      </c>
      <c r="BH53" s="2">
        <v>20</v>
      </c>
      <c r="BI53" t="b">
        <v>1</v>
      </c>
      <c r="BJ53">
        <v>3</v>
      </c>
      <c r="BK53">
        <v>0</v>
      </c>
      <c r="BM53" t="b">
        <v>1</v>
      </c>
      <c r="BN53" t="b">
        <v>0</v>
      </c>
      <c r="BO53">
        <v>7</v>
      </c>
      <c r="BP53" s="2">
        <v>450000</v>
      </c>
      <c r="BQ53" t="s">
        <v>189</v>
      </c>
      <c r="BR53">
        <v>244316</v>
      </c>
      <c r="BS53" t="b">
        <v>0</v>
      </c>
      <c r="BT53" t="b">
        <v>0</v>
      </c>
      <c r="BU53">
        <v>300</v>
      </c>
      <c r="BV53" t="s">
        <v>39</v>
      </c>
      <c r="BW53">
        <v>0</v>
      </c>
      <c r="BX53" t="s">
        <v>190</v>
      </c>
      <c r="BY53" t="b">
        <v>0</v>
      </c>
      <c r="CA53" t="s">
        <v>165</v>
      </c>
      <c r="CB53" t="b">
        <v>0</v>
      </c>
    </row>
    <row r="54" spans="1:80" x14ac:dyDescent="0.2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M54" t="s">
        <v>40</v>
      </c>
      <c r="N54" s="1">
        <v>44246.58425925926</v>
      </c>
      <c r="O54">
        <v>9621004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120000</v>
      </c>
      <c r="AA54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>
        <v>0</v>
      </c>
      <c r="AL54" s="2">
        <v>0</v>
      </c>
      <c r="AM54">
        <v>0</v>
      </c>
      <c r="AN54">
        <v>0</v>
      </c>
      <c r="AO54">
        <v>0</v>
      </c>
      <c r="AP54">
        <v>0</v>
      </c>
      <c r="AQ54">
        <v>100</v>
      </c>
      <c r="AR54">
        <v>601</v>
      </c>
      <c r="AS54">
        <v>6.25E-2</v>
      </c>
      <c r="AT54">
        <v>144344</v>
      </c>
      <c r="AU54">
        <v>15.003</v>
      </c>
      <c r="AV54">
        <v>31972</v>
      </c>
      <c r="AW54">
        <v>3.3231000000000002</v>
      </c>
      <c r="AX54">
        <v>11817</v>
      </c>
      <c r="AY54">
        <v>4843</v>
      </c>
      <c r="AZ54">
        <v>1440226</v>
      </c>
      <c r="BA54">
        <v>2795.19</v>
      </c>
      <c r="BB54">
        <v>1</v>
      </c>
      <c r="BC54">
        <v>10</v>
      </c>
      <c r="BD54">
        <v>-1</v>
      </c>
      <c r="BE54">
        <v>-1</v>
      </c>
      <c r="BF54">
        <v>60</v>
      </c>
      <c r="BG54">
        <v>20</v>
      </c>
      <c r="BH54" s="2">
        <v>20</v>
      </c>
      <c r="BI54" t="b">
        <v>1</v>
      </c>
      <c r="BJ54">
        <v>3</v>
      </c>
      <c r="BK54">
        <v>0</v>
      </c>
      <c r="BM54" t="b">
        <v>1</v>
      </c>
      <c r="BN54" t="b">
        <v>0</v>
      </c>
      <c r="BO54">
        <v>1</v>
      </c>
      <c r="BP54" s="2">
        <v>-1</v>
      </c>
      <c r="BQ54" t="s">
        <v>189</v>
      </c>
      <c r="BR54">
        <v>244316</v>
      </c>
      <c r="BS54" t="b">
        <v>0</v>
      </c>
      <c r="BT54" t="b">
        <v>1</v>
      </c>
      <c r="BU54">
        <v>300</v>
      </c>
      <c r="BV54" t="s">
        <v>39</v>
      </c>
      <c r="BW54">
        <v>0</v>
      </c>
      <c r="BX54" t="s">
        <v>166</v>
      </c>
      <c r="BY54" t="b">
        <v>0</v>
      </c>
      <c r="BZ54" t="s">
        <v>216</v>
      </c>
      <c r="CA54" t="s">
        <v>213</v>
      </c>
      <c r="CB54" t="b">
        <v>1</v>
      </c>
    </row>
    <row r="55" spans="1:80" x14ac:dyDescent="0.2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M55" t="s">
        <v>40</v>
      </c>
      <c r="N55" s="1">
        <v>44246.604722222219</v>
      </c>
      <c r="O55">
        <v>7862401</v>
      </c>
      <c r="P55">
        <v>29277</v>
      </c>
      <c r="Q55">
        <v>3.7237</v>
      </c>
      <c r="R55">
        <v>15250</v>
      </c>
      <c r="S55">
        <v>1.9396</v>
      </c>
      <c r="T55">
        <v>305</v>
      </c>
      <c r="U55">
        <v>3.8800000000000001E-2</v>
      </c>
      <c r="V55">
        <v>700581</v>
      </c>
      <c r="W55">
        <v>89.105199999999996</v>
      </c>
      <c r="X55">
        <v>717344</v>
      </c>
      <c r="Y55">
        <v>91.237300000000005</v>
      </c>
      <c r="Z55">
        <v>120000</v>
      </c>
      <c r="AA55">
        <v>0</v>
      </c>
      <c r="AB55" s="2">
        <v>11257</v>
      </c>
      <c r="AC55" s="2">
        <v>5008</v>
      </c>
      <c r="AD55" s="2">
        <v>1072061</v>
      </c>
      <c r="AE55" s="2">
        <v>9928</v>
      </c>
      <c r="AF55" s="2">
        <v>5586</v>
      </c>
      <c r="AG55" s="2">
        <v>49254</v>
      </c>
      <c r="AH55" s="2">
        <v>10932</v>
      </c>
      <c r="AI55" s="2">
        <v>7064</v>
      </c>
      <c r="AJ55" s="2">
        <v>333755</v>
      </c>
      <c r="AK55">
        <v>0</v>
      </c>
      <c r="AL55" s="2">
        <v>0</v>
      </c>
      <c r="AM55">
        <v>0</v>
      </c>
      <c r="AN55">
        <v>0</v>
      </c>
      <c r="AO55">
        <v>698.33</v>
      </c>
      <c r="AP55">
        <v>16708.53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</v>
      </c>
      <c r="BC55">
        <v>5</v>
      </c>
      <c r="BD55">
        <v>250</v>
      </c>
      <c r="BE55">
        <v>7920</v>
      </c>
      <c r="BF55">
        <v>60</v>
      </c>
      <c r="BG55">
        <v>20</v>
      </c>
      <c r="BH55" s="2">
        <v>20</v>
      </c>
      <c r="BI55" t="b">
        <v>1</v>
      </c>
      <c r="BJ55">
        <v>3</v>
      </c>
      <c r="BK55">
        <v>0</v>
      </c>
      <c r="BM55" t="b">
        <v>1</v>
      </c>
      <c r="BN55" t="b">
        <v>0</v>
      </c>
      <c r="BO55">
        <v>7</v>
      </c>
      <c r="BP55" s="2">
        <v>450000</v>
      </c>
      <c r="BQ55" t="s">
        <v>189</v>
      </c>
      <c r="BR55">
        <v>244316</v>
      </c>
      <c r="BS55" t="b">
        <v>0</v>
      </c>
      <c r="BT55" t="b">
        <v>0</v>
      </c>
      <c r="BU55">
        <v>300</v>
      </c>
      <c r="BV55" t="s">
        <v>39</v>
      </c>
      <c r="BW55">
        <v>0</v>
      </c>
      <c r="BX55" t="s">
        <v>190</v>
      </c>
      <c r="BY55" t="b">
        <v>0</v>
      </c>
      <c r="CA55" t="s">
        <v>165</v>
      </c>
      <c r="CB55" t="b">
        <v>0</v>
      </c>
    </row>
    <row r="56" spans="1:80" x14ac:dyDescent="0.2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M56" t="s">
        <v>40</v>
      </c>
      <c r="N56" s="1">
        <v>44246.58425925926</v>
      </c>
      <c r="O56">
        <v>9621105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120000</v>
      </c>
      <c r="AA56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>
        <v>0</v>
      </c>
      <c r="AL56" s="2">
        <v>0</v>
      </c>
      <c r="AM56">
        <v>0</v>
      </c>
      <c r="AN56">
        <v>0</v>
      </c>
      <c r="AO56">
        <v>0</v>
      </c>
      <c r="AP56">
        <v>0</v>
      </c>
      <c r="AQ56">
        <v>100</v>
      </c>
      <c r="AR56">
        <v>653</v>
      </c>
      <c r="AS56">
        <v>6.7900000000000002E-2</v>
      </c>
      <c r="AT56">
        <v>140993</v>
      </c>
      <c r="AU56">
        <v>14.6546</v>
      </c>
      <c r="AV56">
        <v>31964</v>
      </c>
      <c r="AW56">
        <v>3.3222999999999998</v>
      </c>
      <c r="AX56">
        <v>11293</v>
      </c>
      <c r="AY56">
        <v>4697</v>
      </c>
      <c r="AZ56">
        <v>1176279</v>
      </c>
      <c r="BA56">
        <v>2752.82</v>
      </c>
      <c r="BB56">
        <v>1</v>
      </c>
      <c r="BC56">
        <v>10</v>
      </c>
      <c r="BD56">
        <v>-1</v>
      </c>
      <c r="BE56">
        <v>-1</v>
      </c>
      <c r="BF56">
        <v>60</v>
      </c>
      <c r="BG56">
        <v>20</v>
      </c>
      <c r="BH56" s="2">
        <v>20</v>
      </c>
      <c r="BI56" t="b">
        <v>1</v>
      </c>
      <c r="BJ56">
        <v>3</v>
      </c>
      <c r="BK56">
        <v>0</v>
      </c>
      <c r="BM56" t="b">
        <v>1</v>
      </c>
      <c r="BN56" t="b">
        <v>0</v>
      </c>
      <c r="BO56">
        <v>1</v>
      </c>
      <c r="BP56" s="2">
        <v>-1</v>
      </c>
      <c r="BQ56" t="s">
        <v>189</v>
      </c>
      <c r="BR56">
        <v>244316</v>
      </c>
      <c r="BS56" t="b">
        <v>0</v>
      </c>
      <c r="BT56" t="b">
        <v>1</v>
      </c>
      <c r="BU56">
        <v>300</v>
      </c>
      <c r="BV56" t="s">
        <v>39</v>
      </c>
      <c r="BW56">
        <v>0</v>
      </c>
      <c r="BX56" t="s">
        <v>166</v>
      </c>
      <c r="BY56" t="b">
        <v>0</v>
      </c>
      <c r="BZ56" t="s">
        <v>216</v>
      </c>
      <c r="CA56" t="s">
        <v>213</v>
      </c>
      <c r="CB56" t="b">
        <v>1</v>
      </c>
    </row>
    <row r="57" spans="1:80" x14ac:dyDescent="0.2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M57" t="s">
        <v>40</v>
      </c>
      <c r="N57" s="1">
        <v>44246.604756944442</v>
      </c>
      <c r="O57">
        <v>7862404</v>
      </c>
      <c r="P57">
        <v>29268</v>
      </c>
      <c r="Q57">
        <v>3.7225000000000001</v>
      </c>
      <c r="R57">
        <v>15250</v>
      </c>
      <c r="S57">
        <v>1.9396</v>
      </c>
      <c r="T57">
        <v>305</v>
      </c>
      <c r="U57">
        <v>3.8800000000000001E-2</v>
      </c>
      <c r="V57">
        <v>656703</v>
      </c>
      <c r="W57">
        <v>83.524500000000003</v>
      </c>
      <c r="X57">
        <v>672145</v>
      </c>
      <c r="Y57">
        <v>85.488500000000002</v>
      </c>
      <c r="Z57">
        <v>120000</v>
      </c>
      <c r="AA57">
        <v>0</v>
      </c>
      <c r="AB57" s="2">
        <v>10597</v>
      </c>
      <c r="AC57" s="2">
        <v>3399</v>
      </c>
      <c r="AD57" s="2">
        <v>318196</v>
      </c>
      <c r="AE57" s="2">
        <v>11473</v>
      </c>
      <c r="AF57" s="2">
        <v>4220</v>
      </c>
      <c r="AG57" s="2">
        <v>43788</v>
      </c>
      <c r="AH57" s="2">
        <v>11666</v>
      </c>
      <c r="AI57" s="2">
        <v>7636</v>
      </c>
      <c r="AJ57" s="2">
        <v>1334013</v>
      </c>
      <c r="AK57">
        <v>0</v>
      </c>
      <c r="AL57" s="2">
        <v>0</v>
      </c>
      <c r="AM57">
        <v>0</v>
      </c>
      <c r="AN57">
        <v>0</v>
      </c>
      <c r="AO57">
        <v>698.01</v>
      </c>
      <c r="AP57">
        <v>15662.05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</v>
      </c>
      <c r="BC57">
        <v>5</v>
      </c>
      <c r="BD57">
        <v>250</v>
      </c>
      <c r="BE57">
        <v>7920</v>
      </c>
      <c r="BF57">
        <v>60</v>
      </c>
      <c r="BG57">
        <v>20</v>
      </c>
      <c r="BH57" s="2">
        <v>20</v>
      </c>
      <c r="BI57" t="b">
        <v>1</v>
      </c>
      <c r="BJ57">
        <v>3</v>
      </c>
      <c r="BK57">
        <v>0</v>
      </c>
      <c r="BM57" t="b">
        <v>1</v>
      </c>
      <c r="BN57" t="b">
        <v>0</v>
      </c>
      <c r="BO57">
        <v>7</v>
      </c>
      <c r="BP57" s="2">
        <v>450000</v>
      </c>
      <c r="BQ57" t="s">
        <v>189</v>
      </c>
      <c r="BR57">
        <v>244316</v>
      </c>
      <c r="BS57" t="b">
        <v>0</v>
      </c>
      <c r="BT57" t="b">
        <v>0</v>
      </c>
      <c r="BU57">
        <v>300</v>
      </c>
      <c r="BV57" t="s">
        <v>39</v>
      </c>
      <c r="BW57">
        <v>0</v>
      </c>
      <c r="BX57" t="s">
        <v>190</v>
      </c>
      <c r="BY57" t="b">
        <v>0</v>
      </c>
      <c r="CA57" t="s">
        <v>165</v>
      </c>
      <c r="CB57" t="b">
        <v>0</v>
      </c>
    </row>
    <row r="58" spans="1:80" x14ac:dyDescent="0.2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M58" t="s">
        <v>40</v>
      </c>
      <c r="N58" s="1">
        <v>44246.584305555552</v>
      </c>
      <c r="O58">
        <v>9617521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120000</v>
      </c>
      <c r="AA58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>
        <v>0</v>
      </c>
      <c r="AL58" s="2">
        <v>0</v>
      </c>
      <c r="AM58">
        <v>0</v>
      </c>
      <c r="AN58">
        <v>0</v>
      </c>
      <c r="AO58">
        <v>0</v>
      </c>
      <c r="AP58">
        <v>0</v>
      </c>
      <c r="AQ58">
        <v>100</v>
      </c>
      <c r="AR58">
        <v>673</v>
      </c>
      <c r="AS58">
        <v>7.0000000000000007E-2</v>
      </c>
      <c r="AT58">
        <v>139524</v>
      </c>
      <c r="AU58">
        <v>14.507300000000001</v>
      </c>
      <c r="AV58">
        <v>31958</v>
      </c>
      <c r="AW58">
        <v>3.3229000000000002</v>
      </c>
      <c r="AX58">
        <v>11243</v>
      </c>
      <c r="AY58">
        <v>3354</v>
      </c>
      <c r="AZ58">
        <v>617858</v>
      </c>
      <c r="BA58">
        <v>2722.33</v>
      </c>
      <c r="BB58">
        <v>1</v>
      </c>
      <c r="BC58">
        <v>10</v>
      </c>
      <c r="BD58">
        <v>-1</v>
      </c>
      <c r="BE58">
        <v>-1</v>
      </c>
      <c r="BF58">
        <v>60</v>
      </c>
      <c r="BG58">
        <v>20</v>
      </c>
      <c r="BH58" s="2">
        <v>20</v>
      </c>
      <c r="BI58" t="b">
        <v>1</v>
      </c>
      <c r="BJ58">
        <v>3</v>
      </c>
      <c r="BK58">
        <v>0</v>
      </c>
      <c r="BM58" t="b">
        <v>1</v>
      </c>
      <c r="BN58" t="b">
        <v>0</v>
      </c>
      <c r="BO58">
        <v>1</v>
      </c>
      <c r="BP58" s="2">
        <v>-1</v>
      </c>
      <c r="BQ58" t="s">
        <v>189</v>
      </c>
      <c r="BR58">
        <v>244316</v>
      </c>
      <c r="BS58" t="b">
        <v>0</v>
      </c>
      <c r="BT58" t="b">
        <v>1</v>
      </c>
      <c r="BU58">
        <v>300</v>
      </c>
      <c r="BV58" t="s">
        <v>39</v>
      </c>
      <c r="BW58">
        <v>0</v>
      </c>
      <c r="BX58" t="s">
        <v>166</v>
      </c>
      <c r="BY58" t="b">
        <v>0</v>
      </c>
      <c r="BZ58" t="s">
        <v>216</v>
      </c>
      <c r="CA58" t="s">
        <v>213</v>
      </c>
      <c r="CB58" t="b">
        <v>1</v>
      </c>
    </row>
    <row r="59" spans="1:80" x14ac:dyDescent="0.2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M59" t="s">
        <v>40</v>
      </c>
      <c r="N59" s="1">
        <v>44246.604722222219</v>
      </c>
      <c r="O59">
        <v>7862403</v>
      </c>
      <c r="P59">
        <v>29275</v>
      </c>
      <c r="Q59">
        <v>3.7233999999999998</v>
      </c>
      <c r="R59">
        <v>15250</v>
      </c>
      <c r="S59">
        <v>1.9396</v>
      </c>
      <c r="T59">
        <v>305</v>
      </c>
      <c r="U59">
        <v>3.8800000000000001E-2</v>
      </c>
      <c r="V59">
        <v>836429</v>
      </c>
      <c r="W59">
        <v>106.38339999999999</v>
      </c>
      <c r="X59">
        <v>856366</v>
      </c>
      <c r="Y59">
        <v>108.9191</v>
      </c>
      <c r="Z59">
        <v>120000</v>
      </c>
      <c r="AA59">
        <v>0</v>
      </c>
      <c r="AB59" s="2">
        <v>10759</v>
      </c>
      <c r="AC59" s="2">
        <v>3027</v>
      </c>
      <c r="AD59" s="2">
        <v>1013974</v>
      </c>
      <c r="AE59" s="2">
        <v>11657</v>
      </c>
      <c r="AF59" s="2">
        <v>3764</v>
      </c>
      <c r="AG59" s="2">
        <v>421677</v>
      </c>
      <c r="AH59" s="2">
        <v>9157</v>
      </c>
      <c r="AI59" s="2">
        <v>6566</v>
      </c>
      <c r="AJ59" s="2">
        <v>170909</v>
      </c>
      <c r="AK59">
        <v>0</v>
      </c>
      <c r="AL59" s="2">
        <v>0</v>
      </c>
      <c r="AM59">
        <v>0</v>
      </c>
      <c r="AN59">
        <v>0</v>
      </c>
      <c r="AO59">
        <v>698.26</v>
      </c>
      <c r="AP59">
        <v>19944.82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</v>
      </c>
      <c r="BC59">
        <v>5</v>
      </c>
      <c r="BD59">
        <v>250</v>
      </c>
      <c r="BE59">
        <v>7920</v>
      </c>
      <c r="BF59">
        <v>60</v>
      </c>
      <c r="BG59">
        <v>20</v>
      </c>
      <c r="BH59" s="2">
        <v>20</v>
      </c>
      <c r="BI59" t="b">
        <v>1</v>
      </c>
      <c r="BJ59">
        <v>3</v>
      </c>
      <c r="BK59">
        <v>0</v>
      </c>
      <c r="BM59" t="b">
        <v>1</v>
      </c>
      <c r="BN59" t="b">
        <v>0</v>
      </c>
      <c r="BO59">
        <v>7</v>
      </c>
      <c r="BP59" s="2">
        <v>450000</v>
      </c>
      <c r="BQ59" t="s">
        <v>189</v>
      </c>
      <c r="BR59">
        <v>244316</v>
      </c>
      <c r="BS59" t="b">
        <v>0</v>
      </c>
      <c r="BT59" t="b">
        <v>0</v>
      </c>
      <c r="BU59">
        <v>300</v>
      </c>
      <c r="BV59" t="s">
        <v>39</v>
      </c>
      <c r="BW59">
        <v>0</v>
      </c>
      <c r="BX59" t="s">
        <v>190</v>
      </c>
      <c r="BY59" t="b">
        <v>0</v>
      </c>
      <c r="CA59" t="s">
        <v>165</v>
      </c>
      <c r="CB59" t="b">
        <v>0</v>
      </c>
    </row>
    <row r="60" spans="1:80" x14ac:dyDescent="0.2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M60" t="s">
        <v>40</v>
      </c>
      <c r="N60" s="1">
        <v>44246.58425925926</v>
      </c>
      <c r="O60">
        <v>9620693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120000</v>
      </c>
      <c r="AA60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>
        <v>0</v>
      </c>
      <c r="AL60" s="2">
        <v>0</v>
      </c>
      <c r="AM60">
        <v>0</v>
      </c>
      <c r="AN60">
        <v>0</v>
      </c>
      <c r="AO60">
        <v>0</v>
      </c>
      <c r="AP60">
        <v>0</v>
      </c>
      <c r="AQ60">
        <v>100</v>
      </c>
      <c r="AR60">
        <v>627</v>
      </c>
      <c r="AS60">
        <v>6.5199999999999994E-2</v>
      </c>
      <c r="AT60">
        <v>144052</v>
      </c>
      <c r="AU60">
        <v>14.973100000000001</v>
      </c>
      <c r="AV60">
        <v>31958</v>
      </c>
      <c r="AW60">
        <v>3.3218000000000001</v>
      </c>
      <c r="AX60">
        <v>10338</v>
      </c>
      <c r="AY60">
        <v>2931</v>
      </c>
      <c r="AZ60">
        <v>1335408</v>
      </c>
      <c r="BA60">
        <v>2812.14</v>
      </c>
      <c r="BB60">
        <v>1</v>
      </c>
      <c r="BC60">
        <v>10</v>
      </c>
      <c r="BD60">
        <v>-1</v>
      </c>
      <c r="BE60">
        <v>-1</v>
      </c>
      <c r="BF60">
        <v>60</v>
      </c>
      <c r="BG60">
        <v>20</v>
      </c>
      <c r="BH60" s="2">
        <v>20</v>
      </c>
      <c r="BI60" t="b">
        <v>1</v>
      </c>
      <c r="BJ60">
        <v>3</v>
      </c>
      <c r="BK60">
        <v>0</v>
      </c>
      <c r="BM60" t="b">
        <v>1</v>
      </c>
      <c r="BN60" t="b">
        <v>0</v>
      </c>
      <c r="BO60">
        <v>1</v>
      </c>
      <c r="BP60" s="2">
        <v>-1</v>
      </c>
      <c r="BQ60" t="s">
        <v>189</v>
      </c>
      <c r="BR60">
        <v>244316</v>
      </c>
      <c r="BS60" t="b">
        <v>0</v>
      </c>
      <c r="BT60" t="b">
        <v>1</v>
      </c>
      <c r="BU60">
        <v>300</v>
      </c>
      <c r="BV60" t="s">
        <v>39</v>
      </c>
      <c r="BW60">
        <v>0</v>
      </c>
      <c r="BX60" t="s">
        <v>166</v>
      </c>
      <c r="BY60" t="b">
        <v>0</v>
      </c>
      <c r="BZ60" t="s">
        <v>216</v>
      </c>
      <c r="CA60" t="s">
        <v>213</v>
      </c>
      <c r="CB60" t="b">
        <v>1</v>
      </c>
    </row>
    <row r="61" spans="1:80" x14ac:dyDescent="0.2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M61" t="s">
        <v>40</v>
      </c>
      <c r="N61" s="1">
        <v>44246.604722222219</v>
      </c>
      <c r="O61">
        <v>7862402</v>
      </c>
      <c r="P61">
        <v>29277</v>
      </c>
      <c r="Q61">
        <v>3.7237</v>
      </c>
      <c r="R61">
        <v>15250</v>
      </c>
      <c r="S61">
        <v>1.9396</v>
      </c>
      <c r="T61">
        <v>305</v>
      </c>
      <c r="U61">
        <v>3.8800000000000001E-2</v>
      </c>
      <c r="V61">
        <v>947659</v>
      </c>
      <c r="W61">
        <v>120.5305</v>
      </c>
      <c r="X61">
        <v>970193</v>
      </c>
      <c r="Y61">
        <v>123.3965</v>
      </c>
      <c r="Z61">
        <v>120000</v>
      </c>
      <c r="AA61">
        <v>0</v>
      </c>
      <c r="AB61" s="2">
        <v>11890</v>
      </c>
      <c r="AC61" s="2">
        <v>5283</v>
      </c>
      <c r="AD61" s="2">
        <v>1208699</v>
      </c>
      <c r="AE61" s="2">
        <v>10563</v>
      </c>
      <c r="AF61" s="2">
        <v>5606</v>
      </c>
      <c r="AG61" s="2">
        <v>72984</v>
      </c>
      <c r="AH61" s="2">
        <v>7076</v>
      </c>
      <c r="AI61" s="2">
        <v>4154</v>
      </c>
      <c r="AJ61" s="2">
        <v>107688</v>
      </c>
      <c r="AK61">
        <v>0</v>
      </c>
      <c r="AL61" s="2">
        <v>0</v>
      </c>
      <c r="AM61">
        <v>0</v>
      </c>
      <c r="AN61">
        <v>0</v>
      </c>
      <c r="AO61">
        <v>694.39</v>
      </c>
      <c r="AP61">
        <v>22478.73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</v>
      </c>
      <c r="BC61">
        <v>5</v>
      </c>
      <c r="BD61">
        <v>250</v>
      </c>
      <c r="BE61">
        <v>7920</v>
      </c>
      <c r="BF61">
        <v>60</v>
      </c>
      <c r="BG61">
        <v>20</v>
      </c>
      <c r="BH61" s="2">
        <v>20</v>
      </c>
      <c r="BI61" t="b">
        <v>1</v>
      </c>
      <c r="BJ61">
        <v>3</v>
      </c>
      <c r="BK61">
        <v>0</v>
      </c>
      <c r="BM61" t="b">
        <v>1</v>
      </c>
      <c r="BN61" t="b">
        <v>0</v>
      </c>
      <c r="BO61">
        <v>7</v>
      </c>
      <c r="BP61" s="2">
        <v>450000</v>
      </c>
      <c r="BQ61" t="s">
        <v>189</v>
      </c>
      <c r="BR61">
        <v>244316</v>
      </c>
      <c r="BS61" t="b">
        <v>0</v>
      </c>
      <c r="BT61" t="b">
        <v>0</v>
      </c>
      <c r="BU61">
        <v>300</v>
      </c>
      <c r="BV61" t="s">
        <v>39</v>
      </c>
      <c r="BW61">
        <v>0</v>
      </c>
      <c r="BX61" t="s">
        <v>190</v>
      </c>
      <c r="BY61" t="b">
        <v>0</v>
      </c>
      <c r="CA61" t="s">
        <v>165</v>
      </c>
      <c r="CB61" t="b">
        <v>0</v>
      </c>
    </row>
    <row r="62" spans="1:80" x14ac:dyDescent="0.2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M62" t="s">
        <v>40</v>
      </c>
      <c r="N62" s="1">
        <v>44246.58425925926</v>
      </c>
      <c r="O62">
        <v>9621383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120000</v>
      </c>
      <c r="AA6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>
        <v>0</v>
      </c>
      <c r="AL62" s="2">
        <v>0</v>
      </c>
      <c r="AM62">
        <v>0</v>
      </c>
      <c r="AN62">
        <v>0</v>
      </c>
      <c r="AO62">
        <v>0</v>
      </c>
      <c r="AP62">
        <v>0</v>
      </c>
      <c r="AQ62">
        <v>100</v>
      </c>
      <c r="AR62">
        <v>671</v>
      </c>
      <c r="AS62">
        <v>6.9699999999999998E-2</v>
      </c>
      <c r="AT62">
        <v>141743</v>
      </c>
      <c r="AU62">
        <v>14.732100000000001</v>
      </c>
      <c r="AV62">
        <v>31975</v>
      </c>
      <c r="AW62">
        <v>3.3233000000000001</v>
      </c>
      <c r="AX62">
        <v>11329</v>
      </c>
      <c r="AY62">
        <v>4367</v>
      </c>
      <c r="AZ62">
        <v>159456</v>
      </c>
      <c r="BA62">
        <v>2750.63</v>
      </c>
      <c r="BB62">
        <v>1</v>
      </c>
      <c r="BC62">
        <v>10</v>
      </c>
      <c r="BD62">
        <v>-1</v>
      </c>
      <c r="BE62">
        <v>-1</v>
      </c>
      <c r="BF62">
        <v>60</v>
      </c>
      <c r="BG62">
        <v>20</v>
      </c>
      <c r="BH62" s="2">
        <v>20</v>
      </c>
      <c r="BI62" t="b">
        <v>1</v>
      </c>
      <c r="BJ62">
        <v>3</v>
      </c>
      <c r="BK62">
        <v>0</v>
      </c>
      <c r="BM62" t="b">
        <v>1</v>
      </c>
      <c r="BN62" t="b">
        <v>0</v>
      </c>
      <c r="BO62">
        <v>1</v>
      </c>
      <c r="BP62" s="2">
        <v>-1</v>
      </c>
      <c r="BQ62" t="s">
        <v>189</v>
      </c>
      <c r="BR62">
        <v>244316</v>
      </c>
      <c r="BS62" t="b">
        <v>0</v>
      </c>
      <c r="BT62" t="b">
        <v>1</v>
      </c>
      <c r="BU62">
        <v>300</v>
      </c>
      <c r="BV62" t="s">
        <v>39</v>
      </c>
      <c r="BW62">
        <v>0</v>
      </c>
      <c r="BX62" t="s">
        <v>166</v>
      </c>
      <c r="BY62" t="b">
        <v>0</v>
      </c>
      <c r="BZ62" t="s">
        <v>216</v>
      </c>
      <c r="CA62" t="s">
        <v>213</v>
      </c>
      <c r="CB62" t="b">
        <v>1</v>
      </c>
    </row>
    <row r="63" spans="1:80" x14ac:dyDescent="0.2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M63" t="s">
        <v>40</v>
      </c>
      <c r="N63" s="1">
        <v>44246.604722222219</v>
      </c>
      <c r="O63">
        <v>7862401</v>
      </c>
      <c r="P63">
        <v>29277</v>
      </c>
      <c r="Q63">
        <v>3.7237</v>
      </c>
      <c r="R63">
        <v>15250</v>
      </c>
      <c r="S63">
        <v>1.9396</v>
      </c>
      <c r="T63">
        <v>305</v>
      </c>
      <c r="U63">
        <v>3.8800000000000001E-2</v>
      </c>
      <c r="V63">
        <v>794161</v>
      </c>
      <c r="W63">
        <v>101.0074</v>
      </c>
      <c r="X63">
        <v>812713</v>
      </c>
      <c r="Y63">
        <v>103.367</v>
      </c>
      <c r="Z63">
        <v>120000</v>
      </c>
      <c r="AA63">
        <v>0</v>
      </c>
      <c r="AB63" s="2">
        <v>10380</v>
      </c>
      <c r="AC63" s="2">
        <v>5376</v>
      </c>
      <c r="AD63" s="2">
        <v>85543</v>
      </c>
      <c r="AE63" s="2">
        <v>11798</v>
      </c>
      <c r="AF63" s="2">
        <v>6050</v>
      </c>
      <c r="AG63" s="2">
        <v>306611</v>
      </c>
      <c r="AH63" s="2">
        <v>9652</v>
      </c>
      <c r="AI63" s="2">
        <v>6521</v>
      </c>
      <c r="AJ63" s="2">
        <v>1339255</v>
      </c>
      <c r="AK63">
        <v>0</v>
      </c>
      <c r="AL63" s="2">
        <v>0</v>
      </c>
      <c r="AM63">
        <v>0</v>
      </c>
      <c r="AN63">
        <v>0</v>
      </c>
      <c r="AO63">
        <v>701.89</v>
      </c>
      <c r="AP63">
        <v>19039.060000000001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</v>
      </c>
      <c r="BC63">
        <v>5</v>
      </c>
      <c r="BD63">
        <v>250</v>
      </c>
      <c r="BE63">
        <v>7920</v>
      </c>
      <c r="BF63">
        <v>60</v>
      </c>
      <c r="BG63">
        <v>20</v>
      </c>
      <c r="BH63" s="2">
        <v>20</v>
      </c>
      <c r="BI63" t="b">
        <v>1</v>
      </c>
      <c r="BJ63">
        <v>3</v>
      </c>
      <c r="BK63">
        <v>0</v>
      </c>
      <c r="BM63" t="b">
        <v>1</v>
      </c>
      <c r="BN63" t="b">
        <v>0</v>
      </c>
      <c r="BO63">
        <v>7</v>
      </c>
      <c r="BP63" s="2">
        <v>450000</v>
      </c>
      <c r="BQ63" t="s">
        <v>189</v>
      </c>
      <c r="BR63">
        <v>244316</v>
      </c>
      <c r="BS63" t="b">
        <v>0</v>
      </c>
      <c r="BT63" t="b">
        <v>0</v>
      </c>
      <c r="BU63">
        <v>300</v>
      </c>
      <c r="BV63" t="s">
        <v>39</v>
      </c>
      <c r="BW63">
        <v>0</v>
      </c>
      <c r="BX63" t="s">
        <v>190</v>
      </c>
      <c r="BY63" t="b">
        <v>0</v>
      </c>
      <c r="CA63" t="s">
        <v>165</v>
      </c>
      <c r="CB63" t="b">
        <v>0</v>
      </c>
    </row>
    <row r="64" spans="1:80" x14ac:dyDescent="0.2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M64" t="s">
        <v>40</v>
      </c>
      <c r="N64" s="1">
        <v>44246.58425925926</v>
      </c>
      <c r="O64">
        <v>9621373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120000</v>
      </c>
      <c r="AA64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>
        <v>0</v>
      </c>
      <c r="AL64" s="2">
        <v>0</v>
      </c>
      <c r="AM64">
        <v>0</v>
      </c>
      <c r="AN64">
        <v>0</v>
      </c>
      <c r="AO64">
        <v>0</v>
      </c>
      <c r="AP64">
        <v>0</v>
      </c>
      <c r="AQ64">
        <v>100</v>
      </c>
      <c r="AR64">
        <v>636</v>
      </c>
      <c r="AS64">
        <v>6.6100000000000006E-2</v>
      </c>
      <c r="AT64">
        <v>141685</v>
      </c>
      <c r="AU64">
        <v>14.726100000000001</v>
      </c>
      <c r="AV64">
        <v>31972</v>
      </c>
      <c r="AW64">
        <v>3.323</v>
      </c>
      <c r="AX64">
        <v>11702</v>
      </c>
      <c r="AY64">
        <v>4771</v>
      </c>
      <c r="AZ64">
        <v>1039898</v>
      </c>
      <c r="BA64">
        <v>2776.31</v>
      </c>
      <c r="BB64">
        <v>1</v>
      </c>
      <c r="BC64">
        <v>10</v>
      </c>
      <c r="BD64">
        <v>-1</v>
      </c>
      <c r="BE64">
        <v>-1</v>
      </c>
      <c r="BF64">
        <v>60</v>
      </c>
      <c r="BG64">
        <v>20</v>
      </c>
      <c r="BH64" s="2">
        <v>20</v>
      </c>
      <c r="BI64" t="b">
        <v>1</v>
      </c>
      <c r="BJ64">
        <v>3</v>
      </c>
      <c r="BK64">
        <v>0</v>
      </c>
      <c r="BM64" t="b">
        <v>1</v>
      </c>
      <c r="BN64" t="b">
        <v>0</v>
      </c>
      <c r="BO64">
        <v>1</v>
      </c>
      <c r="BP64" s="2">
        <v>-1</v>
      </c>
      <c r="BQ64" t="s">
        <v>189</v>
      </c>
      <c r="BR64">
        <v>244316</v>
      </c>
      <c r="BS64" t="b">
        <v>0</v>
      </c>
      <c r="BT64" t="b">
        <v>1</v>
      </c>
      <c r="BU64">
        <v>300</v>
      </c>
      <c r="BV64" t="s">
        <v>39</v>
      </c>
      <c r="BW64">
        <v>0</v>
      </c>
      <c r="BX64" t="s">
        <v>166</v>
      </c>
      <c r="BY64" t="b">
        <v>0</v>
      </c>
      <c r="BZ64" t="s">
        <v>216</v>
      </c>
      <c r="CA64" t="s">
        <v>213</v>
      </c>
      <c r="CB64" t="b">
        <v>1</v>
      </c>
    </row>
    <row r="65" spans="1:80" x14ac:dyDescent="0.2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M65" t="s">
        <v>40</v>
      </c>
      <c r="N65" s="1">
        <v>44246.604722222219</v>
      </c>
      <c r="O65">
        <v>7862404</v>
      </c>
      <c r="P65">
        <v>29276</v>
      </c>
      <c r="Q65">
        <v>3.7235</v>
      </c>
      <c r="R65">
        <v>15250</v>
      </c>
      <c r="S65">
        <v>1.9396</v>
      </c>
      <c r="T65">
        <v>305</v>
      </c>
      <c r="U65">
        <v>3.8800000000000001E-2</v>
      </c>
      <c r="V65">
        <v>795625</v>
      </c>
      <c r="W65">
        <v>101.1936</v>
      </c>
      <c r="X65">
        <v>814585</v>
      </c>
      <c r="Y65">
        <v>103.60509999999999</v>
      </c>
      <c r="Z65">
        <v>120000</v>
      </c>
      <c r="AA65">
        <v>0</v>
      </c>
      <c r="AB65" s="2">
        <v>9946</v>
      </c>
      <c r="AC65" s="2">
        <v>3561</v>
      </c>
      <c r="AD65" s="2">
        <v>111721</v>
      </c>
      <c r="AE65" s="2">
        <v>10178</v>
      </c>
      <c r="AF65" s="2">
        <v>4122</v>
      </c>
      <c r="AG65" s="2">
        <v>32340</v>
      </c>
      <c r="AH65" s="2">
        <v>9628</v>
      </c>
      <c r="AI65" s="2">
        <v>6576</v>
      </c>
      <c r="AJ65" s="2">
        <v>1340239</v>
      </c>
      <c r="AK65">
        <v>0</v>
      </c>
      <c r="AL65" s="2">
        <v>0</v>
      </c>
      <c r="AM65">
        <v>0</v>
      </c>
      <c r="AN65">
        <v>0</v>
      </c>
      <c r="AO65">
        <v>702.04</v>
      </c>
      <c r="AP65">
        <v>19076.18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5</v>
      </c>
      <c r="BC65">
        <v>5</v>
      </c>
      <c r="BD65">
        <v>250</v>
      </c>
      <c r="BE65">
        <v>7920</v>
      </c>
      <c r="BF65">
        <v>60</v>
      </c>
      <c r="BG65">
        <v>20</v>
      </c>
      <c r="BH65" s="2">
        <v>20</v>
      </c>
      <c r="BI65" t="b">
        <v>1</v>
      </c>
      <c r="BJ65">
        <v>3</v>
      </c>
      <c r="BK65">
        <v>0</v>
      </c>
      <c r="BM65" t="b">
        <v>1</v>
      </c>
      <c r="BN65" t="b">
        <v>0</v>
      </c>
      <c r="BO65">
        <v>7</v>
      </c>
      <c r="BP65" s="2">
        <v>450000</v>
      </c>
      <c r="BQ65" t="s">
        <v>189</v>
      </c>
      <c r="BR65">
        <v>244316</v>
      </c>
      <c r="BS65" t="b">
        <v>0</v>
      </c>
      <c r="BT65" t="b">
        <v>0</v>
      </c>
      <c r="BU65">
        <v>300</v>
      </c>
      <c r="BV65" t="s">
        <v>39</v>
      </c>
      <c r="BW65">
        <v>0</v>
      </c>
      <c r="BX65" t="s">
        <v>190</v>
      </c>
      <c r="BY65" t="b">
        <v>0</v>
      </c>
      <c r="CA65" t="s">
        <v>165</v>
      </c>
      <c r="CB65" t="b">
        <v>0</v>
      </c>
    </row>
    <row r="66" spans="1:80" x14ac:dyDescent="0.2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M66" t="s">
        <v>40</v>
      </c>
      <c r="N66" s="1">
        <v>44246.58425925926</v>
      </c>
      <c r="O66">
        <v>9620873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120000</v>
      </c>
      <c r="AA66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>
        <v>0</v>
      </c>
      <c r="AL66" s="2">
        <v>0</v>
      </c>
      <c r="AM66">
        <v>0</v>
      </c>
      <c r="AN66">
        <v>0</v>
      </c>
      <c r="AO66">
        <v>0</v>
      </c>
      <c r="AP66">
        <v>0</v>
      </c>
      <c r="AQ66">
        <v>100</v>
      </c>
      <c r="AR66">
        <v>619</v>
      </c>
      <c r="AS66">
        <v>6.4299999999999996E-2</v>
      </c>
      <c r="AT66">
        <v>143573</v>
      </c>
      <c r="AU66">
        <v>14.9231</v>
      </c>
      <c r="AV66">
        <v>31971</v>
      </c>
      <c r="AW66">
        <v>3.3231000000000002</v>
      </c>
      <c r="AX66">
        <v>11415</v>
      </c>
      <c r="AY66">
        <v>3197</v>
      </c>
      <c r="AZ66">
        <v>1398674</v>
      </c>
      <c r="BA66">
        <v>2807.81</v>
      </c>
      <c r="BB66">
        <v>1</v>
      </c>
      <c r="BC66">
        <v>10</v>
      </c>
      <c r="BD66">
        <v>-1</v>
      </c>
      <c r="BE66">
        <v>-1</v>
      </c>
      <c r="BF66">
        <v>60</v>
      </c>
      <c r="BG66">
        <v>20</v>
      </c>
      <c r="BH66" s="2">
        <v>20</v>
      </c>
      <c r="BI66" t="b">
        <v>1</v>
      </c>
      <c r="BJ66">
        <v>3</v>
      </c>
      <c r="BK66">
        <v>0</v>
      </c>
      <c r="BM66" t="b">
        <v>1</v>
      </c>
      <c r="BN66" t="b">
        <v>0</v>
      </c>
      <c r="BO66">
        <v>1</v>
      </c>
      <c r="BP66" s="2">
        <v>-1</v>
      </c>
      <c r="BQ66" t="s">
        <v>189</v>
      </c>
      <c r="BR66">
        <v>244316</v>
      </c>
      <c r="BS66" t="b">
        <v>0</v>
      </c>
      <c r="BT66" t="b">
        <v>1</v>
      </c>
      <c r="BU66">
        <v>300</v>
      </c>
      <c r="BV66" t="s">
        <v>39</v>
      </c>
      <c r="BW66">
        <v>0</v>
      </c>
      <c r="BX66" t="s">
        <v>166</v>
      </c>
      <c r="BY66" t="b">
        <v>0</v>
      </c>
      <c r="BZ66" t="s">
        <v>216</v>
      </c>
      <c r="CA66" t="s">
        <v>213</v>
      </c>
      <c r="CB66" t="b">
        <v>1</v>
      </c>
    </row>
    <row r="67" spans="1:80" x14ac:dyDescent="0.2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M67" t="s">
        <v>40</v>
      </c>
      <c r="N67" s="1">
        <v>44246.604745370372</v>
      </c>
      <c r="O67">
        <v>7862401</v>
      </c>
      <c r="P67">
        <v>29271</v>
      </c>
      <c r="Q67">
        <v>3.7229000000000001</v>
      </c>
      <c r="R67">
        <v>15250</v>
      </c>
      <c r="S67">
        <v>1.9396</v>
      </c>
      <c r="T67">
        <v>305</v>
      </c>
      <c r="U67">
        <v>3.8800000000000001E-2</v>
      </c>
      <c r="V67">
        <v>657041</v>
      </c>
      <c r="W67">
        <v>83.567499999999995</v>
      </c>
      <c r="X67">
        <v>672507</v>
      </c>
      <c r="Y67">
        <v>85.534599999999998</v>
      </c>
      <c r="Z67">
        <v>120000</v>
      </c>
      <c r="AA67">
        <v>0</v>
      </c>
      <c r="AB67" s="2">
        <v>9013</v>
      </c>
      <c r="AC67" s="2">
        <v>4857</v>
      </c>
      <c r="AD67" s="2">
        <v>82481</v>
      </c>
      <c r="AE67" s="2">
        <v>10166</v>
      </c>
      <c r="AF67" s="2">
        <v>5835</v>
      </c>
      <c r="AG67" s="2">
        <v>103581</v>
      </c>
      <c r="AH67" s="2">
        <v>11662</v>
      </c>
      <c r="AI67" s="2">
        <v>7628</v>
      </c>
      <c r="AJ67" s="2">
        <v>1334936</v>
      </c>
      <c r="AK67">
        <v>0</v>
      </c>
      <c r="AL67" s="2">
        <v>0</v>
      </c>
      <c r="AM67">
        <v>0</v>
      </c>
      <c r="AN67">
        <v>0</v>
      </c>
      <c r="AO67">
        <v>698.15</v>
      </c>
      <c r="AP67">
        <v>15668.64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</v>
      </c>
      <c r="BC67">
        <v>5</v>
      </c>
      <c r="BD67">
        <v>250</v>
      </c>
      <c r="BE67">
        <v>7920</v>
      </c>
      <c r="BF67">
        <v>60</v>
      </c>
      <c r="BG67">
        <v>20</v>
      </c>
      <c r="BH67" s="2">
        <v>20</v>
      </c>
      <c r="BI67" t="b">
        <v>1</v>
      </c>
      <c r="BJ67">
        <v>3</v>
      </c>
      <c r="BK67">
        <v>0</v>
      </c>
      <c r="BM67" t="b">
        <v>1</v>
      </c>
      <c r="BN67" t="b">
        <v>0</v>
      </c>
      <c r="BO67">
        <v>7</v>
      </c>
      <c r="BP67" s="2">
        <v>450000</v>
      </c>
      <c r="BQ67" t="s">
        <v>189</v>
      </c>
      <c r="BR67">
        <v>244316</v>
      </c>
      <c r="BS67" t="b">
        <v>0</v>
      </c>
      <c r="BT67" t="b">
        <v>0</v>
      </c>
      <c r="BU67">
        <v>300</v>
      </c>
      <c r="BV67" t="s">
        <v>39</v>
      </c>
      <c r="BW67">
        <v>0</v>
      </c>
      <c r="BX67" t="s">
        <v>190</v>
      </c>
      <c r="BY67" t="b">
        <v>0</v>
      </c>
      <c r="CA67" t="s">
        <v>165</v>
      </c>
      <c r="CB67" t="b">
        <v>0</v>
      </c>
    </row>
    <row r="68" spans="1:80" x14ac:dyDescent="0.2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M68" t="s">
        <v>40</v>
      </c>
      <c r="N68" s="1">
        <v>44246.584293981483</v>
      </c>
      <c r="O68">
        <v>9618378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120000</v>
      </c>
      <c r="AA68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>
        <v>0</v>
      </c>
      <c r="AL68" s="2">
        <v>0</v>
      </c>
      <c r="AM68">
        <v>0</v>
      </c>
      <c r="AN68">
        <v>0</v>
      </c>
      <c r="AO68">
        <v>0</v>
      </c>
      <c r="AP68">
        <v>0</v>
      </c>
      <c r="AQ68">
        <v>100</v>
      </c>
      <c r="AR68">
        <v>668</v>
      </c>
      <c r="AS68">
        <v>6.9500000000000006E-2</v>
      </c>
      <c r="AT68">
        <v>141550</v>
      </c>
      <c r="AU68">
        <v>14.7166</v>
      </c>
      <c r="AV68">
        <v>31959</v>
      </c>
      <c r="AW68">
        <v>3.3227000000000002</v>
      </c>
      <c r="AX68">
        <v>12644</v>
      </c>
      <c r="AY68">
        <v>4843</v>
      </c>
      <c r="AZ68">
        <v>1074057</v>
      </c>
      <c r="BA68">
        <v>2758.14</v>
      </c>
      <c r="BB68">
        <v>1</v>
      </c>
      <c r="BC68">
        <v>10</v>
      </c>
      <c r="BD68">
        <v>-1</v>
      </c>
      <c r="BE68">
        <v>-1</v>
      </c>
      <c r="BF68">
        <v>60</v>
      </c>
      <c r="BG68">
        <v>20</v>
      </c>
      <c r="BH68" s="2">
        <v>20</v>
      </c>
      <c r="BI68" t="b">
        <v>1</v>
      </c>
      <c r="BJ68">
        <v>3</v>
      </c>
      <c r="BK68">
        <v>0</v>
      </c>
      <c r="BM68" t="b">
        <v>1</v>
      </c>
      <c r="BN68" t="b">
        <v>0</v>
      </c>
      <c r="BO68">
        <v>1</v>
      </c>
      <c r="BP68" s="2">
        <v>-1</v>
      </c>
      <c r="BQ68" t="s">
        <v>189</v>
      </c>
      <c r="BR68">
        <v>244316</v>
      </c>
      <c r="BS68" t="b">
        <v>0</v>
      </c>
      <c r="BT68" t="b">
        <v>1</v>
      </c>
      <c r="BU68">
        <v>300</v>
      </c>
      <c r="BV68" t="s">
        <v>39</v>
      </c>
      <c r="BW68">
        <v>0</v>
      </c>
      <c r="BX68" t="s">
        <v>166</v>
      </c>
      <c r="BY68" t="b">
        <v>0</v>
      </c>
      <c r="BZ68" t="s">
        <v>216</v>
      </c>
      <c r="CA68" t="s">
        <v>213</v>
      </c>
      <c r="CB68" t="b">
        <v>1</v>
      </c>
    </row>
    <row r="69" spans="1:80" x14ac:dyDescent="0.2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M69" t="s">
        <v>40</v>
      </c>
      <c r="N69" s="1">
        <v>44246.604756944442</v>
      </c>
      <c r="O69">
        <v>7862402</v>
      </c>
      <c r="P69">
        <v>29270</v>
      </c>
      <c r="Q69">
        <v>3.7227999999999999</v>
      </c>
      <c r="R69">
        <v>15250</v>
      </c>
      <c r="S69">
        <v>1.9396</v>
      </c>
      <c r="T69">
        <v>305</v>
      </c>
      <c r="U69">
        <v>3.8800000000000001E-2</v>
      </c>
      <c r="V69">
        <v>939251</v>
      </c>
      <c r="W69">
        <v>119.4611</v>
      </c>
      <c r="X69">
        <v>961653</v>
      </c>
      <c r="Y69">
        <v>122.3103</v>
      </c>
      <c r="Z69">
        <v>120000</v>
      </c>
      <c r="AA69">
        <v>0</v>
      </c>
      <c r="AB69" s="2">
        <v>11648</v>
      </c>
      <c r="AC69" s="2">
        <v>4957</v>
      </c>
      <c r="AD69" s="2">
        <v>1329917</v>
      </c>
      <c r="AE69" s="2">
        <v>11132</v>
      </c>
      <c r="AF69" s="2">
        <v>5759</v>
      </c>
      <c r="AG69" s="2">
        <v>46092</v>
      </c>
      <c r="AH69" s="2">
        <v>7997</v>
      </c>
      <c r="AI69" s="2">
        <v>5693</v>
      </c>
      <c r="AJ69" s="2">
        <v>113815</v>
      </c>
      <c r="AK69">
        <v>0</v>
      </c>
      <c r="AL69" s="2">
        <v>0</v>
      </c>
      <c r="AM69">
        <v>0</v>
      </c>
      <c r="AN69">
        <v>0</v>
      </c>
      <c r="AO69">
        <v>701.88</v>
      </c>
      <c r="AP69">
        <v>22520.75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</v>
      </c>
      <c r="BC69">
        <v>5</v>
      </c>
      <c r="BD69">
        <v>250</v>
      </c>
      <c r="BE69">
        <v>7920</v>
      </c>
      <c r="BF69">
        <v>60</v>
      </c>
      <c r="BG69">
        <v>20</v>
      </c>
      <c r="BH69" s="2">
        <v>20</v>
      </c>
      <c r="BI69" t="b">
        <v>1</v>
      </c>
      <c r="BJ69">
        <v>3</v>
      </c>
      <c r="BK69">
        <v>0</v>
      </c>
      <c r="BM69" t="b">
        <v>1</v>
      </c>
      <c r="BN69" t="b">
        <v>0</v>
      </c>
      <c r="BO69">
        <v>7</v>
      </c>
      <c r="BP69" s="2">
        <v>450000</v>
      </c>
      <c r="BQ69" t="s">
        <v>189</v>
      </c>
      <c r="BR69">
        <v>244316</v>
      </c>
      <c r="BS69" t="b">
        <v>0</v>
      </c>
      <c r="BT69" t="b">
        <v>0</v>
      </c>
      <c r="BU69">
        <v>300</v>
      </c>
      <c r="BV69" t="s">
        <v>39</v>
      </c>
      <c r="BW69">
        <v>0</v>
      </c>
      <c r="BX69" t="s">
        <v>190</v>
      </c>
      <c r="BY69" t="b">
        <v>0</v>
      </c>
      <c r="CA69" t="s">
        <v>165</v>
      </c>
      <c r="CB69" t="b">
        <v>0</v>
      </c>
    </row>
    <row r="70" spans="1:80" x14ac:dyDescent="0.2">
      <c r="M70" t="s">
        <v>40</v>
      </c>
      <c r="N70" s="1">
        <v>44246.584293981483</v>
      </c>
      <c r="O70">
        <v>9618294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120000</v>
      </c>
      <c r="AA70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>
        <v>0</v>
      </c>
      <c r="AL70" s="2">
        <v>0</v>
      </c>
      <c r="AM70">
        <v>0</v>
      </c>
      <c r="AN70">
        <v>0</v>
      </c>
      <c r="AO70">
        <v>0</v>
      </c>
      <c r="AP70">
        <v>0</v>
      </c>
      <c r="AQ70">
        <v>100</v>
      </c>
      <c r="AR70">
        <v>643</v>
      </c>
      <c r="AS70">
        <v>6.6900000000000001E-2</v>
      </c>
      <c r="AT70">
        <v>141430</v>
      </c>
      <c r="AU70">
        <v>14.7043</v>
      </c>
      <c r="AV70">
        <v>31954</v>
      </c>
      <c r="AW70">
        <v>3.3222</v>
      </c>
      <c r="AX70">
        <v>11846</v>
      </c>
      <c r="AY70">
        <v>4556</v>
      </c>
      <c r="AZ70">
        <v>1276148</v>
      </c>
      <c r="BA70">
        <v>2774.02</v>
      </c>
      <c r="BB70">
        <v>1</v>
      </c>
      <c r="BC70">
        <v>10</v>
      </c>
      <c r="BD70">
        <v>-1</v>
      </c>
      <c r="BE70">
        <v>-1</v>
      </c>
      <c r="BF70">
        <v>60</v>
      </c>
      <c r="BG70">
        <v>20</v>
      </c>
      <c r="BH70" s="2">
        <v>20</v>
      </c>
      <c r="BI70" t="b">
        <v>1</v>
      </c>
      <c r="BJ70">
        <v>3</v>
      </c>
      <c r="BK70">
        <v>0</v>
      </c>
      <c r="BM70" t="b">
        <v>1</v>
      </c>
      <c r="BN70" t="b">
        <v>0</v>
      </c>
      <c r="BO70">
        <v>1</v>
      </c>
      <c r="BP70" s="2">
        <v>-1</v>
      </c>
      <c r="BQ70" t="s">
        <v>189</v>
      </c>
      <c r="BR70">
        <v>244316</v>
      </c>
      <c r="BS70" t="b">
        <v>0</v>
      </c>
      <c r="BT70" t="b">
        <v>1</v>
      </c>
      <c r="BU70">
        <v>300</v>
      </c>
      <c r="BV70" t="s">
        <v>39</v>
      </c>
      <c r="BW70">
        <v>0</v>
      </c>
      <c r="BX70" t="s">
        <v>166</v>
      </c>
      <c r="BY70" t="b">
        <v>0</v>
      </c>
      <c r="BZ70" t="s">
        <v>216</v>
      </c>
      <c r="CA70" t="s">
        <v>213</v>
      </c>
      <c r="CB70" t="b">
        <v>1</v>
      </c>
    </row>
    <row r="71" spans="1:80" x14ac:dyDescent="0.2">
      <c r="M71" t="s">
        <v>40</v>
      </c>
      <c r="N71" s="1">
        <v>44246.604722222219</v>
      </c>
      <c r="O71">
        <v>7862405</v>
      </c>
      <c r="P71">
        <v>29277</v>
      </c>
      <c r="Q71">
        <v>3.7237</v>
      </c>
      <c r="R71">
        <v>15250</v>
      </c>
      <c r="S71">
        <v>1.9396</v>
      </c>
      <c r="T71">
        <v>305</v>
      </c>
      <c r="U71">
        <v>3.8800000000000001E-2</v>
      </c>
      <c r="V71">
        <v>663591</v>
      </c>
      <c r="W71">
        <v>84.400499999999994</v>
      </c>
      <c r="X71">
        <v>679496</v>
      </c>
      <c r="Y71">
        <v>86.423400000000001</v>
      </c>
      <c r="Z71">
        <v>120000</v>
      </c>
      <c r="AA71">
        <v>0</v>
      </c>
      <c r="AB71" s="2">
        <v>10547</v>
      </c>
      <c r="AC71" s="2">
        <v>5218</v>
      </c>
      <c r="AD71" s="2">
        <v>94299</v>
      </c>
      <c r="AE71" s="2">
        <v>10471</v>
      </c>
      <c r="AF71" s="2">
        <v>5563</v>
      </c>
      <c r="AG71" s="2">
        <v>81919</v>
      </c>
      <c r="AH71" s="2">
        <v>11547</v>
      </c>
      <c r="AI71" s="2">
        <v>7249</v>
      </c>
      <c r="AJ71" s="2">
        <v>1354781</v>
      </c>
      <c r="AK71">
        <v>0</v>
      </c>
      <c r="AL71" s="2">
        <v>0</v>
      </c>
      <c r="AM71">
        <v>0</v>
      </c>
      <c r="AN71">
        <v>0</v>
      </c>
      <c r="AO71">
        <v>702</v>
      </c>
      <c r="AP71">
        <v>15909.62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5</v>
      </c>
      <c r="BC71">
        <v>5</v>
      </c>
      <c r="BD71">
        <v>250</v>
      </c>
      <c r="BE71">
        <v>7920</v>
      </c>
      <c r="BF71">
        <v>60</v>
      </c>
      <c r="BG71">
        <v>20</v>
      </c>
      <c r="BH71" s="2">
        <v>20</v>
      </c>
      <c r="BI71" t="b">
        <v>1</v>
      </c>
      <c r="BJ71">
        <v>3</v>
      </c>
      <c r="BK71">
        <v>0</v>
      </c>
      <c r="BM71" t="b">
        <v>1</v>
      </c>
      <c r="BN71" t="b">
        <v>0</v>
      </c>
      <c r="BO71">
        <v>7</v>
      </c>
      <c r="BP71" s="2">
        <v>450000</v>
      </c>
      <c r="BQ71" t="s">
        <v>189</v>
      </c>
      <c r="BR71">
        <v>244316</v>
      </c>
      <c r="BS71" t="b">
        <v>0</v>
      </c>
      <c r="BT71" t="b">
        <v>0</v>
      </c>
      <c r="BU71">
        <v>300</v>
      </c>
      <c r="BV71" t="s">
        <v>39</v>
      </c>
      <c r="BW71">
        <v>0</v>
      </c>
      <c r="BX71" t="s">
        <v>190</v>
      </c>
      <c r="BY71" t="b">
        <v>0</v>
      </c>
      <c r="CA71" t="s">
        <v>165</v>
      </c>
      <c r="CB71" t="b">
        <v>0</v>
      </c>
    </row>
    <row r="72" spans="1:80" x14ac:dyDescent="0.2">
      <c r="M72" t="s">
        <v>40</v>
      </c>
      <c r="N72" s="1">
        <v>44246.58425925926</v>
      </c>
      <c r="O72">
        <v>9621414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120000</v>
      </c>
      <c r="AA7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>
        <v>0</v>
      </c>
      <c r="AL72" s="2">
        <v>0</v>
      </c>
      <c r="AM72">
        <v>0</v>
      </c>
      <c r="AN72">
        <v>0</v>
      </c>
      <c r="AO72">
        <v>0</v>
      </c>
      <c r="AP72">
        <v>0</v>
      </c>
      <c r="AQ72">
        <v>100</v>
      </c>
      <c r="AR72">
        <v>641</v>
      </c>
      <c r="AS72">
        <v>6.6600000000000006E-2</v>
      </c>
      <c r="AT72">
        <v>141282</v>
      </c>
      <c r="AU72">
        <v>14.684100000000001</v>
      </c>
      <c r="AV72">
        <v>31964</v>
      </c>
      <c r="AW72">
        <v>3.3222</v>
      </c>
      <c r="AX72">
        <v>11581</v>
      </c>
      <c r="AY72">
        <v>4677</v>
      </c>
      <c r="AZ72">
        <v>1083941</v>
      </c>
      <c r="BA72">
        <v>2767.43</v>
      </c>
      <c r="BB72">
        <v>1</v>
      </c>
      <c r="BC72">
        <v>10</v>
      </c>
      <c r="BD72">
        <v>-1</v>
      </c>
      <c r="BE72">
        <v>-1</v>
      </c>
      <c r="BF72">
        <v>60</v>
      </c>
      <c r="BG72">
        <v>20</v>
      </c>
      <c r="BH72" s="2">
        <v>20</v>
      </c>
      <c r="BI72" t="b">
        <v>1</v>
      </c>
      <c r="BJ72">
        <v>3</v>
      </c>
      <c r="BK72">
        <v>0</v>
      </c>
      <c r="BM72" t="b">
        <v>1</v>
      </c>
      <c r="BN72" t="b">
        <v>0</v>
      </c>
      <c r="BO72">
        <v>1</v>
      </c>
      <c r="BP72" s="2">
        <v>-1</v>
      </c>
      <c r="BQ72" t="s">
        <v>189</v>
      </c>
      <c r="BR72">
        <v>244316</v>
      </c>
      <c r="BS72" t="b">
        <v>0</v>
      </c>
      <c r="BT72" t="b">
        <v>1</v>
      </c>
      <c r="BU72">
        <v>300</v>
      </c>
      <c r="BV72" t="s">
        <v>39</v>
      </c>
      <c r="BW72">
        <v>0</v>
      </c>
      <c r="BX72" t="s">
        <v>166</v>
      </c>
      <c r="BY72" t="b">
        <v>0</v>
      </c>
      <c r="BZ72" t="s">
        <v>216</v>
      </c>
      <c r="CA72" t="s">
        <v>213</v>
      </c>
      <c r="CB72" t="b">
        <v>1</v>
      </c>
    </row>
    <row r="73" spans="1:80" x14ac:dyDescent="0.2">
      <c r="M73" t="s">
        <v>40</v>
      </c>
      <c r="N73" s="1">
        <v>44246.604722222219</v>
      </c>
      <c r="O73">
        <v>7862402</v>
      </c>
      <c r="P73">
        <v>29276</v>
      </c>
      <c r="Q73">
        <v>3.7235</v>
      </c>
      <c r="R73">
        <v>15250</v>
      </c>
      <c r="S73">
        <v>1.9396</v>
      </c>
      <c r="T73">
        <v>305</v>
      </c>
      <c r="U73">
        <v>3.8800000000000001E-2</v>
      </c>
      <c r="V73">
        <v>926257</v>
      </c>
      <c r="W73">
        <v>117.80840000000001</v>
      </c>
      <c r="X73">
        <v>948389</v>
      </c>
      <c r="Y73">
        <v>120.6233</v>
      </c>
      <c r="Z73">
        <v>120000</v>
      </c>
      <c r="AA73">
        <v>0</v>
      </c>
      <c r="AB73" s="2">
        <v>11666</v>
      </c>
      <c r="AC73" s="2">
        <v>5450</v>
      </c>
      <c r="AD73" s="2">
        <v>1315137</v>
      </c>
      <c r="AE73" s="2">
        <v>10927</v>
      </c>
      <c r="AF73" s="2">
        <v>6244</v>
      </c>
      <c r="AG73" s="2">
        <v>67106</v>
      </c>
      <c r="AH73" s="2">
        <v>8085</v>
      </c>
      <c r="AI73" s="2">
        <v>4897</v>
      </c>
      <c r="AJ73" s="2">
        <v>174417</v>
      </c>
      <c r="AK73">
        <v>0</v>
      </c>
      <c r="AL73" s="2">
        <v>0</v>
      </c>
      <c r="AM73">
        <v>0</v>
      </c>
      <c r="AN73">
        <v>0</v>
      </c>
      <c r="AO73">
        <v>698.32</v>
      </c>
      <c r="AP73">
        <v>22090.43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5</v>
      </c>
      <c r="BC73">
        <v>5</v>
      </c>
      <c r="BD73">
        <v>250</v>
      </c>
      <c r="BE73">
        <v>7920</v>
      </c>
      <c r="BF73">
        <v>60</v>
      </c>
      <c r="BG73">
        <v>20</v>
      </c>
      <c r="BH73" s="2">
        <v>20</v>
      </c>
      <c r="BI73" t="b">
        <v>1</v>
      </c>
      <c r="BJ73">
        <v>3</v>
      </c>
      <c r="BK73">
        <v>0</v>
      </c>
      <c r="BM73" t="b">
        <v>1</v>
      </c>
      <c r="BN73" t="b">
        <v>0</v>
      </c>
      <c r="BO73">
        <v>7</v>
      </c>
      <c r="BP73" s="2">
        <v>450000</v>
      </c>
      <c r="BQ73" t="s">
        <v>189</v>
      </c>
      <c r="BR73">
        <v>244316</v>
      </c>
      <c r="BS73" t="b">
        <v>0</v>
      </c>
      <c r="BT73" t="b">
        <v>0</v>
      </c>
      <c r="BU73">
        <v>300</v>
      </c>
      <c r="BV73" t="s">
        <v>39</v>
      </c>
      <c r="BW73">
        <v>0</v>
      </c>
      <c r="BX73" t="s">
        <v>190</v>
      </c>
      <c r="BY73" t="b">
        <v>0</v>
      </c>
      <c r="CA73" t="s">
        <v>165</v>
      </c>
      <c r="CB73" t="b">
        <v>0</v>
      </c>
    </row>
    <row r="74" spans="1:80" x14ac:dyDescent="0.2">
      <c r="M74" t="s">
        <v>40</v>
      </c>
      <c r="N74" s="1">
        <v>44246.58425925926</v>
      </c>
      <c r="O74">
        <v>9621088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120000</v>
      </c>
      <c r="AA74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>
        <v>0</v>
      </c>
      <c r="AL74" s="2">
        <v>0</v>
      </c>
      <c r="AM74">
        <v>0</v>
      </c>
      <c r="AN74">
        <v>0</v>
      </c>
      <c r="AO74">
        <v>0</v>
      </c>
      <c r="AP74">
        <v>0</v>
      </c>
      <c r="AQ74">
        <v>100</v>
      </c>
      <c r="AR74">
        <v>635</v>
      </c>
      <c r="AS74">
        <v>6.6000000000000003E-2</v>
      </c>
      <c r="AT74">
        <v>142856</v>
      </c>
      <c r="AU74">
        <v>14.8482</v>
      </c>
      <c r="AV74">
        <v>31968</v>
      </c>
      <c r="AW74">
        <v>3.3227000000000002</v>
      </c>
      <c r="AX74">
        <v>13844</v>
      </c>
      <c r="AY74">
        <v>5241</v>
      </c>
      <c r="AZ74">
        <v>1108351</v>
      </c>
      <c r="BA74">
        <v>2787.55</v>
      </c>
      <c r="BB74">
        <v>1</v>
      </c>
      <c r="BC74">
        <v>10</v>
      </c>
      <c r="BD74">
        <v>-1</v>
      </c>
      <c r="BE74">
        <v>-1</v>
      </c>
      <c r="BF74">
        <v>60</v>
      </c>
      <c r="BG74">
        <v>20</v>
      </c>
      <c r="BH74" s="2">
        <v>20</v>
      </c>
      <c r="BI74" t="b">
        <v>1</v>
      </c>
      <c r="BJ74">
        <v>3</v>
      </c>
      <c r="BK74">
        <v>0</v>
      </c>
      <c r="BM74" t="b">
        <v>1</v>
      </c>
      <c r="BN74" t="b">
        <v>0</v>
      </c>
      <c r="BO74">
        <v>1</v>
      </c>
      <c r="BP74" s="2">
        <v>-1</v>
      </c>
      <c r="BQ74" t="s">
        <v>189</v>
      </c>
      <c r="BR74">
        <v>244316</v>
      </c>
      <c r="BS74" t="b">
        <v>0</v>
      </c>
      <c r="BT74" t="b">
        <v>1</v>
      </c>
      <c r="BU74">
        <v>300</v>
      </c>
      <c r="BV74" t="s">
        <v>39</v>
      </c>
      <c r="BW74">
        <v>0</v>
      </c>
      <c r="BX74" t="s">
        <v>166</v>
      </c>
      <c r="BY74" t="b">
        <v>0</v>
      </c>
      <c r="BZ74" t="s">
        <v>216</v>
      </c>
      <c r="CA74" t="s">
        <v>213</v>
      </c>
      <c r="CB74" t="b">
        <v>1</v>
      </c>
    </row>
    <row r="75" spans="1:80" x14ac:dyDescent="0.2">
      <c r="M75" t="s">
        <v>40</v>
      </c>
      <c r="N75" s="1">
        <v>44246.604756944442</v>
      </c>
      <c r="O75">
        <v>7862404</v>
      </c>
      <c r="P75">
        <v>29270</v>
      </c>
      <c r="Q75">
        <v>3.7227999999999999</v>
      </c>
      <c r="R75">
        <v>15250</v>
      </c>
      <c r="S75">
        <v>1.9396</v>
      </c>
      <c r="T75">
        <v>305</v>
      </c>
      <c r="U75">
        <v>3.8800000000000001E-2</v>
      </c>
      <c r="V75">
        <v>842863</v>
      </c>
      <c r="W75">
        <v>107.2017</v>
      </c>
      <c r="X75">
        <v>862668</v>
      </c>
      <c r="Y75">
        <v>109.7206</v>
      </c>
      <c r="Z75">
        <v>120000</v>
      </c>
      <c r="AA75">
        <v>0</v>
      </c>
      <c r="AB75" s="2">
        <v>11812</v>
      </c>
      <c r="AC75" s="2">
        <v>5025</v>
      </c>
      <c r="AD75" s="2">
        <v>1342265</v>
      </c>
      <c r="AE75" s="2">
        <v>11176</v>
      </c>
      <c r="AF75" s="2">
        <v>5743</v>
      </c>
      <c r="AG75" s="2">
        <v>55243</v>
      </c>
      <c r="AH75" s="2">
        <v>9088</v>
      </c>
      <c r="AI75" s="2">
        <v>6229</v>
      </c>
      <c r="AJ75" s="2">
        <v>174463</v>
      </c>
      <c r="AK75">
        <v>0</v>
      </c>
      <c r="AL75" s="2">
        <v>0</v>
      </c>
      <c r="AM75">
        <v>0</v>
      </c>
      <c r="AN75">
        <v>0</v>
      </c>
      <c r="AO75">
        <v>701.79</v>
      </c>
      <c r="AP75">
        <v>20208.810000000001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5</v>
      </c>
      <c r="BC75">
        <v>5</v>
      </c>
      <c r="BD75">
        <v>250</v>
      </c>
      <c r="BE75">
        <v>7920</v>
      </c>
      <c r="BF75">
        <v>60</v>
      </c>
      <c r="BG75">
        <v>20</v>
      </c>
      <c r="BH75" s="2">
        <v>20</v>
      </c>
      <c r="BI75" t="b">
        <v>1</v>
      </c>
      <c r="BJ75">
        <v>3</v>
      </c>
      <c r="BK75">
        <v>0</v>
      </c>
      <c r="BM75" t="b">
        <v>1</v>
      </c>
      <c r="BN75" t="b">
        <v>0</v>
      </c>
      <c r="BO75">
        <v>7</v>
      </c>
      <c r="BP75" s="2">
        <v>450000</v>
      </c>
      <c r="BQ75" t="s">
        <v>189</v>
      </c>
      <c r="BR75">
        <v>244316</v>
      </c>
      <c r="BS75" t="b">
        <v>0</v>
      </c>
      <c r="BT75" t="b">
        <v>0</v>
      </c>
      <c r="BU75">
        <v>300</v>
      </c>
      <c r="BV75" t="s">
        <v>39</v>
      </c>
      <c r="BW75">
        <v>0</v>
      </c>
      <c r="BX75" t="s">
        <v>190</v>
      </c>
      <c r="BY75" t="b">
        <v>0</v>
      </c>
      <c r="CA75" t="s">
        <v>165</v>
      </c>
      <c r="CB75" t="b">
        <v>0</v>
      </c>
    </row>
    <row r="76" spans="1:80" x14ac:dyDescent="0.2">
      <c r="M76" t="s">
        <v>40</v>
      </c>
      <c r="N76" s="1">
        <v>44246.584293981483</v>
      </c>
      <c r="O76">
        <v>9618488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120000</v>
      </c>
      <c r="AA76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>
        <v>0</v>
      </c>
      <c r="AL76" s="2">
        <v>0</v>
      </c>
      <c r="AM76">
        <v>0</v>
      </c>
      <c r="AN76">
        <v>0</v>
      </c>
      <c r="AO76">
        <v>0</v>
      </c>
      <c r="AP76">
        <v>0</v>
      </c>
      <c r="AQ76">
        <v>100</v>
      </c>
      <c r="AR76">
        <v>609</v>
      </c>
      <c r="AS76">
        <v>6.3299999999999995E-2</v>
      </c>
      <c r="AT76">
        <v>142606</v>
      </c>
      <c r="AU76">
        <v>14.8262</v>
      </c>
      <c r="AV76">
        <v>31956</v>
      </c>
      <c r="AW76">
        <v>3.3224</v>
      </c>
      <c r="AX76">
        <v>12035</v>
      </c>
      <c r="AY76">
        <v>5478</v>
      </c>
      <c r="AZ76">
        <v>918579</v>
      </c>
      <c r="BA76">
        <v>2793.7</v>
      </c>
      <c r="BB76">
        <v>1</v>
      </c>
      <c r="BC76">
        <v>10</v>
      </c>
      <c r="BD76">
        <v>-1</v>
      </c>
      <c r="BE76">
        <v>-1</v>
      </c>
      <c r="BF76">
        <v>60</v>
      </c>
      <c r="BG76">
        <v>20</v>
      </c>
      <c r="BH76" s="2">
        <v>20</v>
      </c>
      <c r="BI76" t="b">
        <v>1</v>
      </c>
      <c r="BJ76">
        <v>3</v>
      </c>
      <c r="BK76">
        <v>0</v>
      </c>
      <c r="BM76" t="b">
        <v>1</v>
      </c>
      <c r="BN76" t="b">
        <v>0</v>
      </c>
      <c r="BO76">
        <v>1</v>
      </c>
      <c r="BP76" s="2">
        <v>-1</v>
      </c>
      <c r="BQ76" t="s">
        <v>189</v>
      </c>
      <c r="BR76">
        <v>244316</v>
      </c>
      <c r="BS76" t="b">
        <v>0</v>
      </c>
      <c r="BT76" t="b">
        <v>1</v>
      </c>
      <c r="BU76">
        <v>300</v>
      </c>
      <c r="BV76" t="s">
        <v>39</v>
      </c>
      <c r="BW76">
        <v>0</v>
      </c>
      <c r="BX76" t="s">
        <v>166</v>
      </c>
      <c r="BY76" t="b">
        <v>0</v>
      </c>
      <c r="BZ76" t="s">
        <v>216</v>
      </c>
      <c r="CA76" t="s">
        <v>213</v>
      </c>
      <c r="CB76" t="b">
        <v>1</v>
      </c>
    </row>
    <row r="77" spans="1:80" x14ac:dyDescent="0.2">
      <c r="M77" t="s">
        <v>40</v>
      </c>
      <c r="N77" s="1">
        <v>44246.604722222219</v>
      </c>
      <c r="O77">
        <v>7862404</v>
      </c>
      <c r="P77">
        <v>29276</v>
      </c>
      <c r="Q77">
        <v>3.7235</v>
      </c>
      <c r="R77">
        <v>15250</v>
      </c>
      <c r="S77">
        <v>1.9396</v>
      </c>
      <c r="T77">
        <v>305</v>
      </c>
      <c r="U77">
        <v>3.8800000000000001E-2</v>
      </c>
      <c r="V77">
        <v>800399</v>
      </c>
      <c r="W77">
        <v>101.8008</v>
      </c>
      <c r="X77">
        <v>819468</v>
      </c>
      <c r="Y77">
        <v>104.2261</v>
      </c>
      <c r="Z77">
        <v>120000</v>
      </c>
      <c r="AA77">
        <v>0</v>
      </c>
      <c r="AB77" s="2">
        <v>9926</v>
      </c>
      <c r="AC77" s="2">
        <v>4986</v>
      </c>
      <c r="AD77" s="2">
        <v>92574</v>
      </c>
      <c r="AE77" s="2">
        <v>9752</v>
      </c>
      <c r="AF77" s="2">
        <v>5503</v>
      </c>
      <c r="AG77" s="2">
        <v>50416</v>
      </c>
      <c r="AH77" s="2">
        <v>9567</v>
      </c>
      <c r="AI77" s="2">
        <v>5249</v>
      </c>
      <c r="AJ77" s="2">
        <v>1338549</v>
      </c>
      <c r="AK77">
        <v>0</v>
      </c>
      <c r="AL77" s="2">
        <v>0</v>
      </c>
      <c r="AM77">
        <v>0</v>
      </c>
      <c r="AN77">
        <v>0</v>
      </c>
      <c r="AO77">
        <v>698.08</v>
      </c>
      <c r="AP77">
        <v>19085.580000000002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</v>
      </c>
      <c r="BC77">
        <v>5</v>
      </c>
      <c r="BD77">
        <v>250</v>
      </c>
      <c r="BE77">
        <v>7920</v>
      </c>
      <c r="BF77">
        <v>60</v>
      </c>
      <c r="BG77">
        <v>20</v>
      </c>
      <c r="BH77" s="2">
        <v>20</v>
      </c>
      <c r="BI77" t="b">
        <v>1</v>
      </c>
      <c r="BJ77">
        <v>3</v>
      </c>
      <c r="BK77">
        <v>0</v>
      </c>
      <c r="BM77" t="b">
        <v>1</v>
      </c>
      <c r="BN77" t="b">
        <v>0</v>
      </c>
      <c r="BO77">
        <v>7</v>
      </c>
      <c r="BP77" s="2">
        <v>450000</v>
      </c>
      <c r="BQ77" t="s">
        <v>189</v>
      </c>
      <c r="BR77">
        <v>244316</v>
      </c>
      <c r="BS77" t="b">
        <v>0</v>
      </c>
      <c r="BT77" t="b">
        <v>0</v>
      </c>
      <c r="BU77">
        <v>300</v>
      </c>
      <c r="BV77" t="s">
        <v>39</v>
      </c>
      <c r="BW77">
        <v>0</v>
      </c>
      <c r="BX77" t="s">
        <v>190</v>
      </c>
      <c r="BY77" t="b">
        <v>0</v>
      </c>
      <c r="CA77" t="s">
        <v>165</v>
      </c>
      <c r="CB77" t="b">
        <v>0</v>
      </c>
    </row>
    <row r="78" spans="1:80" x14ac:dyDescent="0.2">
      <c r="M78" t="s">
        <v>40</v>
      </c>
      <c r="N78" s="1">
        <v>44246.58425925926</v>
      </c>
      <c r="O78">
        <v>9621113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120000</v>
      </c>
      <c r="AA78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>
        <v>0</v>
      </c>
      <c r="AL78" s="2">
        <v>0</v>
      </c>
      <c r="AM78">
        <v>0</v>
      </c>
      <c r="AN78">
        <v>0</v>
      </c>
      <c r="AO78">
        <v>0</v>
      </c>
      <c r="AP78">
        <v>0</v>
      </c>
      <c r="AQ78">
        <v>100</v>
      </c>
      <c r="AR78">
        <v>636</v>
      </c>
      <c r="AS78">
        <v>6.6100000000000006E-2</v>
      </c>
      <c r="AT78">
        <v>141321</v>
      </c>
      <c r="AU78">
        <v>14.688599999999999</v>
      </c>
      <c r="AV78">
        <v>31974</v>
      </c>
      <c r="AW78">
        <v>3.3233000000000001</v>
      </c>
      <c r="AX78">
        <v>11634</v>
      </c>
      <c r="AY78">
        <v>5025</v>
      </c>
      <c r="AZ78">
        <v>1038912</v>
      </c>
      <c r="BA78">
        <v>2755.96</v>
      </c>
      <c r="BB78">
        <v>1</v>
      </c>
      <c r="BC78">
        <v>10</v>
      </c>
      <c r="BD78">
        <v>-1</v>
      </c>
      <c r="BE78">
        <v>-1</v>
      </c>
      <c r="BF78">
        <v>60</v>
      </c>
      <c r="BG78">
        <v>20</v>
      </c>
      <c r="BH78" s="2">
        <v>20</v>
      </c>
      <c r="BI78" t="b">
        <v>1</v>
      </c>
      <c r="BJ78">
        <v>3</v>
      </c>
      <c r="BK78">
        <v>0</v>
      </c>
      <c r="BM78" t="b">
        <v>1</v>
      </c>
      <c r="BN78" t="b">
        <v>0</v>
      </c>
      <c r="BO78">
        <v>1</v>
      </c>
      <c r="BP78" s="2">
        <v>-1</v>
      </c>
      <c r="BQ78" t="s">
        <v>189</v>
      </c>
      <c r="BR78">
        <v>244316</v>
      </c>
      <c r="BS78" t="b">
        <v>0</v>
      </c>
      <c r="BT78" t="b">
        <v>1</v>
      </c>
      <c r="BU78">
        <v>300</v>
      </c>
      <c r="BV78" t="s">
        <v>39</v>
      </c>
      <c r="BW78">
        <v>0</v>
      </c>
      <c r="BX78" t="s">
        <v>166</v>
      </c>
      <c r="BY78" t="b">
        <v>0</v>
      </c>
      <c r="BZ78" t="s">
        <v>216</v>
      </c>
      <c r="CA78" t="s">
        <v>213</v>
      </c>
      <c r="CB78" t="b">
        <v>1</v>
      </c>
    </row>
    <row r="79" spans="1:80" x14ac:dyDescent="0.2">
      <c r="M79" t="s">
        <v>40</v>
      </c>
      <c r="N79" s="1">
        <v>44246.604722222219</v>
      </c>
      <c r="O79">
        <v>7862404</v>
      </c>
      <c r="P79">
        <v>29277</v>
      </c>
      <c r="Q79">
        <v>3.7237</v>
      </c>
      <c r="R79">
        <v>15250</v>
      </c>
      <c r="S79">
        <v>1.9396</v>
      </c>
      <c r="T79">
        <v>305</v>
      </c>
      <c r="U79">
        <v>3.8800000000000001E-2</v>
      </c>
      <c r="V79">
        <v>543213</v>
      </c>
      <c r="W79">
        <v>69.0899</v>
      </c>
      <c r="X79">
        <v>556136</v>
      </c>
      <c r="Y79">
        <v>70.733599999999996</v>
      </c>
      <c r="Z79">
        <v>120000</v>
      </c>
      <c r="AA79">
        <v>0</v>
      </c>
      <c r="AB79" s="2">
        <v>10312</v>
      </c>
      <c r="AC79" s="2">
        <v>5264</v>
      </c>
      <c r="AD79" s="2">
        <v>93161</v>
      </c>
      <c r="AE79" s="2">
        <v>12605</v>
      </c>
      <c r="AF79" s="2">
        <v>5757</v>
      </c>
      <c r="AG79" s="2">
        <v>504545</v>
      </c>
      <c r="AH79" s="2">
        <v>14110</v>
      </c>
      <c r="AI79" s="2">
        <v>8625</v>
      </c>
      <c r="AJ79" s="2">
        <v>326774</v>
      </c>
      <c r="AK79">
        <v>0</v>
      </c>
      <c r="AL79" s="2">
        <v>0</v>
      </c>
      <c r="AM79">
        <v>0</v>
      </c>
      <c r="AN79">
        <v>0</v>
      </c>
      <c r="AO79">
        <v>698.29</v>
      </c>
      <c r="AP79">
        <v>12954.73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5</v>
      </c>
      <c r="BC79">
        <v>5</v>
      </c>
      <c r="BD79">
        <v>250</v>
      </c>
      <c r="BE79">
        <v>7920</v>
      </c>
      <c r="BF79">
        <v>60</v>
      </c>
      <c r="BG79">
        <v>20</v>
      </c>
      <c r="BH79" s="2">
        <v>20</v>
      </c>
      <c r="BI79" t="b">
        <v>1</v>
      </c>
      <c r="BJ79">
        <v>3</v>
      </c>
      <c r="BK79">
        <v>0</v>
      </c>
      <c r="BM79" t="b">
        <v>1</v>
      </c>
      <c r="BN79" t="b">
        <v>0</v>
      </c>
      <c r="BO79">
        <v>7</v>
      </c>
      <c r="BP79" s="2">
        <v>450000</v>
      </c>
      <c r="BQ79" t="s">
        <v>189</v>
      </c>
      <c r="BR79">
        <v>244316</v>
      </c>
      <c r="BS79" t="b">
        <v>0</v>
      </c>
      <c r="BT79" t="b">
        <v>0</v>
      </c>
      <c r="BU79">
        <v>300</v>
      </c>
      <c r="BV79" t="s">
        <v>39</v>
      </c>
      <c r="BW79">
        <v>0</v>
      </c>
      <c r="BX79" t="s">
        <v>190</v>
      </c>
      <c r="BY79" t="b">
        <v>0</v>
      </c>
      <c r="CA79" t="s">
        <v>165</v>
      </c>
      <c r="CB79" t="b">
        <v>0</v>
      </c>
    </row>
    <row r="80" spans="1:80" x14ac:dyDescent="0.2">
      <c r="M80" t="s">
        <v>40</v>
      </c>
      <c r="N80" s="1">
        <v>44246.58425925926</v>
      </c>
      <c r="O80">
        <v>9621379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120000</v>
      </c>
      <c r="AA80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>
        <v>0</v>
      </c>
      <c r="AL80" s="2">
        <v>0</v>
      </c>
      <c r="AM80">
        <v>0</v>
      </c>
      <c r="AN80">
        <v>0</v>
      </c>
      <c r="AO80">
        <v>0</v>
      </c>
      <c r="AP80">
        <v>0</v>
      </c>
      <c r="AQ80">
        <v>100</v>
      </c>
      <c r="AR80">
        <v>620</v>
      </c>
      <c r="AS80">
        <v>6.4399999999999999E-2</v>
      </c>
      <c r="AT80">
        <v>142590</v>
      </c>
      <c r="AU80">
        <v>14.8201</v>
      </c>
      <c r="AV80">
        <v>31970</v>
      </c>
      <c r="AW80">
        <v>3.3228</v>
      </c>
      <c r="AX80">
        <v>13161</v>
      </c>
      <c r="AY80">
        <v>4799</v>
      </c>
      <c r="AZ80">
        <v>865169</v>
      </c>
      <c r="BA80">
        <v>2783.38</v>
      </c>
      <c r="BB80">
        <v>1</v>
      </c>
      <c r="BC80">
        <v>10</v>
      </c>
      <c r="BD80">
        <v>-1</v>
      </c>
      <c r="BE80">
        <v>-1</v>
      </c>
      <c r="BF80">
        <v>60</v>
      </c>
      <c r="BG80">
        <v>20</v>
      </c>
      <c r="BH80" s="2">
        <v>20</v>
      </c>
      <c r="BI80" t="b">
        <v>1</v>
      </c>
      <c r="BJ80">
        <v>3</v>
      </c>
      <c r="BK80">
        <v>0</v>
      </c>
      <c r="BM80" t="b">
        <v>1</v>
      </c>
      <c r="BN80" t="b">
        <v>0</v>
      </c>
      <c r="BO80">
        <v>1</v>
      </c>
      <c r="BP80" s="2">
        <v>-1</v>
      </c>
      <c r="BQ80" t="s">
        <v>189</v>
      </c>
      <c r="BR80">
        <v>244316</v>
      </c>
      <c r="BS80" t="b">
        <v>0</v>
      </c>
      <c r="BT80" t="b">
        <v>1</v>
      </c>
      <c r="BU80">
        <v>300</v>
      </c>
      <c r="BV80" t="s">
        <v>39</v>
      </c>
      <c r="BW80">
        <v>0</v>
      </c>
      <c r="BX80" t="s">
        <v>166</v>
      </c>
      <c r="BY80" t="b">
        <v>0</v>
      </c>
      <c r="BZ80" t="s">
        <v>216</v>
      </c>
      <c r="CA80" t="s">
        <v>213</v>
      </c>
      <c r="CB80" t="b">
        <v>1</v>
      </c>
    </row>
    <row r="81" spans="13:80" x14ac:dyDescent="0.2">
      <c r="M81" t="s">
        <v>40</v>
      </c>
      <c r="N81" s="1">
        <v>44246.604722222219</v>
      </c>
      <c r="O81">
        <v>7862403</v>
      </c>
      <c r="P81">
        <v>29277</v>
      </c>
      <c r="Q81">
        <v>3.7237</v>
      </c>
      <c r="R81">
        <v>15250</v>
      </c>
      <c r="S81">
        <v>1.9396</v>
      </c>
      <c r="T81">
        <v>305</v>
      </c>
      <c r="U81">
        <v>3.8800000000000001E-2</v>
      </c>
      <c r="V81">
        <v>915768</v>
      </c>
      <c r="W81">
        <v>116.4743</v>
      </c>
      <c r="X81">
        <v>937604</v>
      </c>
      <c r="Y81">
        <v>119.2516</v>
      </c>
      <c r="Z81">
        <v>120000</v>
      </c>
      <c r="AA81">
        <v>0</v>
      </c>
      <c r="AB81" s="2">
        <v>11749</v>
      </c>
      <c r="AC81" s="2">
        <v>5276</v>
      </c>
      <c r="AD81" s="2">
        <v>1103594</v>
      </c>
      <c r="AE81" s="2">
        <v>11309</v>
      </c>
      <c r="AF81" s="2">
        <v>5653</v>
      </c>
      <c r="AG81" s="2">
        <v>439549</v>
      </c>
      <c r="AH81" s="2">
        <v>8316</v>
      </c>
      <c r="AI81" s="2">
        <v>4953</v>
      </c>
      <c r="AJ81" s="2">
        <v>174644</v>
      </c>
      <c r="AK81">
        <v>0</v>
      </c>
      <c r="AL81" s="2">
        <v>0</v>
      </c>
      <c r="AM81">
        <v>0</v>
      </c>
      <c r="AN81">
        <v>0</v>
      </c>
      <c r="AO81">
        <v>694.52</v>
      </c>
      <c r="AP81">
        <v>21720.05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</v>
      </c>
      <c r="BC81">
        <v>5</v>
      </c>
      <c r="BD81">
        <v>250</v>
      </c>
      <c r="BE81">
        <v>7920</v>
      </c>
      <c r="BF81">
        <v>60</v>
      </c>
      <c r="BG81">
        <v>20</v>
      </c>
      <c r="BH81" s="2">
        <v>20</v>
      </c>
      <c r="BI81" t="b">
        <v>1</v>
      </c>
      <c r="BJ81">
        <v>3</v>
      </c>
      <c r="BK81">
        <v>0</v>
      </c>
      <c r="BM81" t="b">
        <v>1</v>
      </c>
      <c r="BN81" t="b">
        <v>0</v>
      </c>
      <c r="BO81">
        <v>7</v>
      </c>
      <c r="BP81" s="2">
        <v>450000</v>
      </c>
      <c r="BQ81" t="s">
        <v>189</v>
      </c>
      <c r="BR81">
        <v>244316</v>
      </c>
      <c r="BS81" t="b">
        <v>0</v>
      </c>
      <c r="BT81" t="b">
        <v>0</v>
      </c>
      <c r="BU81">
        <v>300</v>
      </c>
      <c r="BV81" t="s">
        <v>39</v>
      </c>
      <c r="BW81">
        <v>0</v>
      </c>
      <c r="BX81" t="s">
        <v>190</v>
      </c>
      <c r="BY81" t="b">
        <v>0</v>
      </c>
      <c r="CA81" t="s">
        <v>165</v>
      </c>
      <c r="CB81" t="b">
        <v>0</v>
      </c>
    </row>
    <row r="82" spans="13:80" x14ac:dyDescent="0.2">
      <c r="M82" t="s">
        <v>40</v>
      </c>
      <c r="N82" s="1">
        <v>44246.58425925926</v>
      </c>
      <c r="O82">
        <v>9621357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120000</v>
      </c>
      <c r="AA8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>
        <v>0</v>
      </c>
      <c r="AL82" s="2">
        <v>0</v>
      </c>
      <c r="AM82">
        <v>0</v>
      </c>
      <c r="AN82">
        <v>0</v>
      </c>
      <c r="AO82">
        <v>0</v>
      </c>
      <c r="AP82">
        <v>0</v>
      </c>
      <c r="AQ82">
        <v>100</v>
      </c>
      <c r="AR82">
        <v>641</v>
      </c>
      <c r="AS82">
        <v>6.6600000000000006E-2</v>
      </c>
      <c r="AT82">
        <v>143961</v>
      </c>
      <c r="AU82">
        <v>14.9626</v>
      </c>
      <c r="AV82">
        <v>31960</v>
      </c>
      <c r="AW82">
        <v>3.3218000000000001</v>
      </c>
      <c r="AX82">
        <v>12630</v>
      </c>
      <c r="AY82">
        <v>4792</v>
      </c>
      <c r="AZ82">
        <v>495360</v>
      </c>
      <c r="BA82">
        <v>2789.77</v>
      </c>
      <c r="BB82">
        <v>1</v>
      </c>
      <c r="BC82">
        <v>10</v>
      </c>
      <c r="BD82">
        <v>-1</v>
      </c>
      <c r="BE82">
        <v>-1</v>
      </c>
      <c r="BF82">
        <v>60</v>
      </c>
      <c r="BG82">
        <v>20</v>
      </c>
      <c r="BH82" s="2">
        <v>20</v>
      </c>
      <c r="BI82" t="b">
        <v>1</v>
      </c>
      <c r="BJ82">
        <v>3</v>
      </c>
      <c r="BK82">
        <v>0</v>
      </c>
      <c r="BM82" t="b">
        <v>1</v>
      </c>
      <c r="BN82" t="b">
        <v>0</v>
      </c>
      <c r="BO82">
        <v>1</v>
      </c>
      <c r="BP82" s="2">
        <v>-1</v>
      </c>
      <c r="BQ82" t="s">
        <v>189</v>
      </c>
      <c r="BR82">
        <v>244316</v>
      </c>
      <c r="BS82" t="b">
        <v>0</v>
      </c>
      <c r="BT82" t="b">
        <v>1</v>
      </c>
      <c r="BU82">
        <v>300</v>
      </c>
      <c r="BV82" t="s">
        <v>39</v>
      </c>
      <c r="BW82">
        <v>0</v>
      </c>
      <c r="BX82" t="s">
        <v>166</v>
      </c>
      <c r="BY82" t="b">
        <v>0</v>
      </c>
      <c r="BZ82" t="s">
        <v>216</v>
      </c>
      <c r="CA82" t="s">
        <v>213</v>
      </c>
      <c r="CB82" t="b">
        <v>1</v>
      </c>
    </row>
    <row r="83" spans="13:80" x14ac:dyDescent="0.2">
      <c r="M83" t="s">
        <v>40</v>
      </c>
      <c r="N83" s="1">
        <v>44246.604722222219</v>
      </c>
      <c r="O83">
        <v>7862403</v>
      </c>
      <c r="P83">
        <v>29276</v>
      </c>
      <c r="Q83">
        <v>3.7235</v>
      </c>
      <c r="R83">
        <v>15250</v>
      </c>
      <c r="S83">
        <v>1.9396</v>
      </c>
      <c r="T83">
        <v>305</v>
      </c>
      <c r="U83">
        <v>3.8800000000000001E-2</v>
      </c>
      <c r="V83">
        <v>697334</v>
      </c>
      <c r="W83">
        <v>88.6922</v>
      </c>
      <c r="X83">
        <v>713937</v>
      </c>
      <c r="Y83">
        <v>90.803899999999999</v>
      </c>
      <c r="Z83">
        <v>120000</v>
      </c>
      <c r="AA83">
        <v>0</v>
      </c>
      <c r="AB83" s="2">
        <v>10243</v>
      </c>
      <c r="AC83" s="2">
        <v>4868</v>
      </c>
      <c r="AD83" s="2">
        <v>86845</v>
      </c>
      <c r="AE83" s="2">
        <v>10813</v>
      </c>
      <c r="AF83" s="2">
        <v>5648</v>
      </c>
      <c r="AG83" s="2">
        <v>459298</v>
      </c>
      <c r="AH83" s="2">
        <v>10973</v>
      </c>
      <c r="AI83" s="2">
        <v>7323</v>
      </c>
      <c r="AJ83" s="2">
        <v>338613</v>
      </c>
      <c r="AK83">
        <v>0</v>
      </c>
      <c r="AL83" s="2">
        <v>0</v>
      </c>
      <c r="AM83">
        <v>0</v>
      </c>
      <c r="AN83">
        <v>0</v>
      </c>
      <c r="AO83">
        <v>694.53</v>
      </c>
      <c r="AP83">
        <v>16538.77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5</v>
      </c>
      <c r="BC83">
        <v>5</v>
      </c>
      <c r="BD83">
        <v>250</v>
      </c>
      <c r="BE83">
        <v>7920</v>
      </c>
      <c r="BF83">
        <v>60</v>
      </c>
      <c r="BG83">
        <v>20</v>
      </c>
      <c r="BH83" s="2">
        <v>20</v>
      </c>
      <c r="BI83" t="b">
        <v>1</v>
      </c>
      <c r="BJ83">
        <v>3</v>
      </c>
      <c r="BK83">
        <v>0</v>
      </c>
      <c r="BM83" t="b">
        <v>1</v>
      </c>
      <c r="BN83" t="b">
        <v>0</v>
      </c>
      <c r="BO83">
        <v>7</v>
      </c>
      <c r="BP83" s="2">
        <v>450000</v>
      </c>
      <c r="BQ83" t="s">
        <v>189</v>
      </c>
      <c r="BR83">
        <v>244316</v>
      </c>
      <c r="BS83" t="b">
        <v>0</v>
      </c>
      <c r="BT83" t="b">
        <v>0</v>
      </c>
      <c r="BU83">
        <v>300</v>
      </c>
      <c r="BV83" t="s">
        <v>39</v>
      </c>
      <c r="BW83">
        <v>0</v>
      </c>
      <c r="BX83" t="s">
        <v>190</v>
      </c>
      <c r="BY83" t="b">
        <v>0</v>
      </c>
      <c r="CA83" t="s">
        <v>165</v>
      </c>
      <c r="CB83" t="b">
        <v>0</v>
      </c>
    </row>
    <row r="84" spans="13:80" x14ac:dyDescent="0.2">
      <c r="M84" t="s">
        <v>40</v>
      </c>
      <c r="N84" s="1">
        <v>44246.58425925926</v>
      </c>
      <c r="O84">
        <v>9620907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120000</v>
      </c>
      <c r="AA84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>
        <v>0</v>
      </c>
      <c r="AL84" s="2">
        <v>0</v>
      </c>
      <c r="AM84">
        <v>0</v>
      </c>
      <c r="AN84">
        <v>0</v>
      </c>
      <c r="AO84">
        <v>0</v>
      </c>
      <c r="AP84">
        <v>0</v>
      </c>
      <c r="AQ84">
        <v>100</v>
      </c>
      <c r="AR84">
        <v>644</v>
      </c>
      <c r="AS84">
        <v>6.6900000000000001E-2</v>
      </c>
      <c r="AT84">
        <v>142094</v>
      </c>
      <c r="AU84">
        <v>14.769299999999999</v>
      </c>
      <c r="AV84">
        <v>31960</v>
      </c>
      <c r="AW84">
        <v>3.3218999999999999</v>
      </c>
      <c r="AX84">
        <v>12897</v>
      </c>
      <c r="AY84">
        <v>5416</v>
      </c>
      <c r="AZ84">
        <v>844605</v>
      </c>
      <c r="BA84">
        <v>2755.85</v>
      </c>
      <c r="BB84">
        <v>1</v>
      </c>
      <c r="BC84">
        <v>10</v>
      </c>
      <c r="BD84">
        <v>-1</v>
      </c>
      <c r="BE84">
        <v>-1</v>
      </c>
      <c r="BF84">
        <v>60</v>
      </c>
      <c r="BG84">
        <v>20</v>
      </c>
      <c r="BH84" s="2">
        <v>20</v>
      </c>
      <c r="BI84" t="b">
        <v>1</v>
      </c>
      <c r="BJ84">
        <v>3</v>
      </c>
      <c r="BK84">
        <v>0</v>
      </c>
      <c r="BM84" t="b">
        <v>1</v>
      </c>
      <c r="BN84" t="b">
        <v>0</v>
      </c>
      <c r="BO84">
        <v>1</v>
      </c>
      <c r="BP84" s="2">
        <v>-1</v>
      </c>
      <c r="BQ84" t="s">
        <v>189</v>
      </c>
      <c r="BR84">
        <v>244316</v>
      </c>
      <c r="BS84" t="b">
        <v>0</v>
      </c>
      <c r="BT84" t="b">
        <v>1</v>
      </c>
      <c r="BU84">
        <v>300</v>
      </c>
      <c r="BV84" t="s">
        <v>39</v>
      </c>
      <c r="BW84">
        <v>0</v>
      </c>
      <c r="BX84" t="s">
        <v>166</v>
      </c>
      <c r="BY84" t="b">
        <v>0</v>
      </c>
      <c r="BZ84" t="s">
        <v>216</v>
      </c>
      <c r="CA84" t="s">
        <v>213</v>
      </c>
      <c r="CB84" t="b">
        <v>1</v>
      </c>
    </row>
    <row r="85" spans="13:80" x14ac:dyDescent="0.2">
      <c r="M85" t="s">
        <v>40</v>
      </c>
      <c r="N85" s="1">
        <v>44246.604745370372</v>
      </c>
      <c r="O85">
        <v>7862401</v>
      </c>
      <c r="P85">
        <v>29272</v>
      </c>
      <c r="Q85">
        <v>3.7229999999999999</v>
      </c>
      <c r="R85">
        <v>15250</v>
      </c>
      <c r="S85">
        <v>1.9396</v>
      </c>
      <c r="T85">
        <v>305</v>
      </c>
      <c r="U85">
        <v>3.8800000000000001E-2</v>
      </c>
      <c r="V85">
        <v>797461</v>
      </c>
      <c r="W85">
        <v>101.4271</v>
      </c>
      <c r="X85">
        <v>816311</v>
      </c>
      <c r="Y85">
        <v>103.8246</v>
      </c>
      <c r="Z85">
        <v>120000</v>
      </c>
      <c r="AA85">
        <v>0</v>
      </c>
      <c r="AB85" s="2">
        <v>9656</v>
      </c>
      <c r="AC85" s="2">
        <v>3414</v>
      </c>
      <c r="AD85" s="2">
        <v>285449</v>
      </c>
      <c r="AE85" s="2">
        <v>9879</v>
      </c>
      <c r="AF85" s="2">
        <v>4122</v>
      </c>
      <c r="AG85" s="2">
        <v>55985</v>
      </c>
      <c r="AH85" s="2">
        <v>9608</v>
      </c>
      <c r="AI85" s="2">
        <v>6339</v>
      </c>
      <c r="AJ85" s="2">
        <v>1436557</v>
      </c>
      <c r="AK85">
        <v>0</v>
      </c>
      <c r="AL85" s="2">
        <v>0</v>
      </c>
      <c r="AM85">
        <v>0</v>
      </c>
      <c r="AN85">
        <v>0</v>
      </c>
      <c r="AO85">
        <v>701.71</v>
      </c>
      <c r="AP85">
        <v>19119.71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5</v>
      </c>
      <c r="BD85">
        <v>250</v>
      </c>
      <c r="BE85">
        <v>7920</v>
      </c>
      <c r="BF85">
        <v>60</v>
      </c>
      <c r="BG85">
        <v>20</v>
      </c>
      <c r="BH85" s="2">
        <v>20</v>
      </c>
      <c r="BI85" t="b">
        <v>1</v>
      </c>
      <c r="BJ85">
        <v>3</v>
      </c>
      <c r="BK85">
        <v>0</v>
      </c>
      <c r="BM85" t="b">
        <v>1</v>
      </c>
      <c r="BN85" t="b">
        <v>0</v>
      </c>
      <c r="BO85">
        <v>7</v>
      </c>
      <c r="BP85" s="2">
        <v>450000</v>
      </c>
      <c r="BQ85" t="s">
        <v>189</v>
      </c>
      <c r="BR85">
        <v>244316</v>
      </c>
      <c r="BS85" t="b">
        <v>0</v>
      </c>
      <c r="BT85" t="b">
        <v>0</v>
      </c>
      <c r="BU85">
        <v>300</v>
      </c>
      <c r="BV85" t="s">
        <v>39</v>
      </c>
      <c r="BW85">
        <v>0</v>
      </c>
      <c r="BX85" t="s">
        <v>190</v>
      </c>
      <c r="BY85" t="b">
        <v>0</v>
      </c>
      <c r="CA85" t="s">
        <v>165</v>
      </c>
      <c r="CB85" t="b">
        <v>0</v>
      </c>
    </row>
    <row r="86" spans="13:80" x14ac:dyDescent="0.2">
      <c r="M86" t="s">
        <v>40</v>
      </c>
      <c r="N86" s="1">
        <v>44246.584282407406</v>
      </c>
      <c r="O86">
        <v>9619327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120000</v>
      </c>
      <c r="AA86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>
        <v>0</v>
      </c>
      <c r="AL86" s="2">
        <v>0</v>
      </c>
      <c r="AM86">
        <v>0</v>
      </c>
      <c r="AN86">
        <v>0</v>
      </c>
      <c r="AO86">
        <v>0</v>
      </c>
      <c r="AP86">
        <v>0</v>
      </c>
      <c r="AQ86">
        <v>100</v>
      </c>
      <c r="AR86">
        <v>616</v>
      </c>
      <c r="AS86">
        <v>6.4000000000000001E-2</v>
      </c>
      <c r="AT86">
        <v>143274</v>
      </c>
      <c r="AU86">
        <v>14.894399999999999</v>
      </c>
      <c r="AV86">
        <v>31966</v>
      </c>
      <c r="AW86">
        <v>3.3231000000000002</v>
      </c>
      <c r="AX86">
        <v>11198</v>
      </c>
      <c r="AY86">
        <v>3207</v>
      </c>
      <c r="AZ86">
        <v>181453</v>
      </c>
      <c r="BA86">
        <v>2813.65</v>
      </c>
      <c r="BB86">
        <v>1</v>
      </c>
      <c r="BC86">
        <v>10</v>
      </c>
      <c r="BD86">
        <v>-1</v>
      </c>
      <c r="BE86">
        <v>-1</v>
      </c>
      <c r="BF86">
        <v>60</v>
      </c>
      <c r="BG86">
        <v>20</v>
      </c>
      <c r="BH86" s="2">
        <v>20</v>
      </c>
      <c r="BI86" t="b">
        <v>1</v>
      </c>
      <c r="BJ86">
        <v>3</v>
      </c>
      <c r="BK86">
        <v>0</v>
      </c>
      <c r="BM86" t="b">
        <v>1</v>
      </c>
      <c r="BN86" t="b">
        <v>0</v>
      </c>
      <c r="BO86">
        <v>1</v>
      </c>
      <c r="BP86" s="2">
        <v>-1</v>
      </c>
      <c r="BQ86" t="s">
        <v>189</v>
      </c>
      <c r="BR86">
        <v>244316</v>
      </c>
      <c r="BS86" t="b">
        <v>0</v>
      </c>
      <c r="BT86" t="b">
        <v>1</v>
      </c>
      <c r="BU86">
        <v>300</v>
      </c>
      <c r="BV86" t="s">
        <v>39</v>
      </c>
      <c r="BW86">
        <v>0</v>
      </c>
      <c r="BX86" t="s">
        <v>166</v>
      </c>
      <c r="BY86" t="b">
        <v>0</v>
      </c>
      <c r="BZ86" t="s">
        <v>216</v>
      </c>
      <c r="CA86" t="s">
        <v>213</v>
      </c>
      <c r="CB86" t="b">
        <v>1</v>
      </c>
    </row>
    <row r="87" spans="13:80" x14ac:dyDescent="0.2">
      <c r="M87" t="s">
        <v>40</v>
      </c>
      <c r="N87" s="1">
        <v>44246.604745370372</v>
      </c>
      <c r="O87">
        <v>7862401</v>
      </c>
      <c r="P87">
        <v>29271</v>
      </c>
      <c r="Q87">
        <v>3.7229000000000001</v>
      </c>
      <c r="R87">
        <v>15250</v>
      </c>
      <c r="S87">
        <v>1.9396</v>
      </c>
      <c r="T87">
        <v>305</v>
      </c>
      <c r="U87">
        <v>3.8800000000000001E-2</v>
      </c>
      <c r="V87">
        <v>887174</v>
      </c>
      <c r="W87">
        <v>112.83750000000001</v>
      </c>
      <c r="X87">
        <v>908247</v>
      </c>
      <c r="Y87">
        <v>115.51779999999999</v>
      </c>
      <c r="Z87">
        <v>120000</v>
      </c>
      <c r="AA87">
        <v>0</v>
      </c>
      <c r="AB87" s="2">
        <v>9598</v>
      </c>
      <c r="AC87" s="2">
        <v>3553</v>
      </c>
      <c r="AD87" s="2">
        <v>89221</v>
      </c>
      <c r="AE87" s="2">
        <v>8992</v>
      </c>
      <c r="AF87" s="2">
        <v>4216</v>
      </c>
      <c r="AG87" s="2">
        <v>40306</v>
      </c>
      <c r="AH87" s="2">
        <v>8632</v>
      </c>
      <c r="AI87" s="2">
        <v>6248</v>
      </c>
      <c r="AJ87" s="2">
        <v>125702</v>
      </c>
      <c r="AK87">
        <v>0</v>
      </c>
      <c r="AL87" s="2">
        <v>0</v>
      </c>
      <c r="AM87">
        <v>0</v>
      </c>
      <c r="AN87">
        <v>0</v>
      </c>
      <c r="AO87">
        <v>701.75</v>
      </c>
      <c r="AP87">
        <v>21270.29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5</v>
      </c>
      <c r="BC87">
        <v>5</v>
      </c>
      <c r="BD87">
        <v>250</v>
      </c>
      <c r="BE87">
        <v>7920</v>
      </c>
      <c r="BF87">
        <v>60</v>
      </c>
      <c r="BG87">
        <v>20</v>
      </c>
      <c r="BH87" s="2">
        <v>20</v>
      </c>
      <c r="BI87" t="b">
        <v>1</v>
      </c>
      <c r="BJ87">
        <v>3</v>
      </c>
      <c r="BK87">
        <v>0</v>
      </c>
      <c r="BM87" t="b">
        <v>1</v>
      </c>
      <c r="BN87" t="b">
        <v>0</v>
      </c>
      <c r="BO87">
        <v>7</v>
      </c>
      <c r="BP87" s="2">
        <v>450000</v>
      </c>
      <c r="BQ87" t="s">
        <v>189</v>
      </c>
      <c r="BR87">
        <v>244316</v>
      </c>
      <c r="BS87" t="b">
        <v>0</v>
      </c>
      <c r="BT87" t="b">
        <v>0</v>
      </c>
      <c r="BU87">
        <v>300</v>
      </c>
      <c r="BV87" t="s">
        <v>39</v>
      </c>
      <c r="BW87">
        <v>0</v>
      </c>
      <c r="BX87" t="s">
        <v>190</v>
      </c>
      <c r="BY87" t="b">
        <v>0</v>
      </c>
      <c r="CA87" t="s">
        <v>165</v>
      </c>
      <c r="CB87" t="b">
        <v>0</v>
      </c>
    </row>
    <row r="88" spans="13:80" x14ac:dyDescent="0.2">
      <c r="M88" t="s">
        <v>40</v>
      </c>
      <c r="N88" s="1">
        <v>44246.584293981483</v>
      </c>
      <c r="O88">
        <v>9618486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120000</v>
      </c>
      <c r="AA88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>
        <v>0</v>
      </c>
      <c r="AL88" s="2">
        <v>0</v>
      </c>
      <c r="AM88">
        <v>0</v>
      </c>
      <c r="AN88">
        <v>0</v>
      </c>
      <c r="AO88">
        <v>0</v>
      </c>
      <c r="AP88">
        <v>0</v>
      </c>
      <c r="AQ88">
        <v>100</v>
      </c>
      <c r="AR88">
        <v>615</v>
      </c>
      <c r="AS88">
        <v>6.3899999999999998E-2</v>
      </c>
      <c r="AT88">
        <v>143245</v>
      </c>
      <c r="AU88">
        <v>14.8927</v>
      </c>
      <c r="AV88">
        <v>31964</v>
      </c>
      <c r="AW88">
        <v>3.3231999999999999</v>
      </c>
      <c r="AX88">
        <v>12000</v>
      </c>
      <c r="AY88">
        <v>3264</v>
      </c>
      <c r="AZ88">
        <v>1153543</v>
      </c>
      <c r="BA88">
        <v>2806.72</v>
      </c>
      <c r="BB88">
        <v>1</v>
      </c>
      <c r="BC88">
        <v>10</v>
      </c>
      <c r="BD88">
        <v>-1</v>
      </c>
      <c r="BE88">
        <v>-1</v>
      </c>
      <c r="BF88">
        <v>60</v>
      </c>
      <c r="BG88">
        <v>20</v>
      </c>
      <c r="BH88" s="2">
        <v>20</v>
      </c>
      <c r="BI88" t="b">
        <v>1</v>
      </c>
      <c r="BJ88">
        <v>3</v>
      </c>
      <c r="BK88">
        <v>0</v>
      </c>
      <c r="BM88" t="b">
        <v>1</v>
      </c>
      <c r="BN88" t="b">
        <v>0</v>
      </c>
      <c r="BO88">
        <v>1</v>
      </c>
      <c r="BP88" s="2">
        <v>-1</v>
      </c>
      <c r="BQ88" t="s">
        <v>189</v>
      </c>
      <c r="BR88">
        <v>244316</v>
      </c>
      <c r="BS88" t="b">
        <v>0</v>
      </c>
      <c r="BT88" t="b">
        <v>1</v>
      </c>
      <c r="BU88">
        <v>300</v>
      </c>
      <c r="BV88" t="s">
        <v>39</v>
      </c>
      <c r="BW88">
        <v>0</v>
      </c>
      <c r="BX88" t="s">
        <v>166</v>
      </c>
      <c r="BY88" t="b">
        <v>0</v>
      </c>
      <c r="BZ88" t="s">
        <v>216</v>
      </c>
      <c r="CA88" t="s">
        <v>213</v>
      </c>
      <c r="CB88" t="b">
        <v>1</v>
      </c>
    </row>
    <row r="89" spans="13:80" x14ac:dyDescent="0.2">
      <c r="M89" t="s">
        <v>40</v>
      </c>
      <c r="N89" s="1">
        <v>44246.604722222219</v>
      </c>
      <c r="O89">
        <v>7862401</v>
      </c>
      <c r="P89">
        <v>29277</v>
      </c>
      <c r="Q89">
        <v>3.7237</v>
      </c>
      <c r="R89">
        <v>15250</v>
      </c>
      <c r="S89">
        <v>1.9396</v>
      </c>
      <c r="T89">
        <v>305</v>
      </c>
      <c r="U89">
        <v>3.8800000000000001E-2</v>
      </c>
      <c r="V89">
        <v>546558</v>
      </c>
      <c r="W89">
        <v>69.5154</v>
      </c>
      <c r="X89">
        <v>559556</v>
      </c>
      <c r="Y89">
        <v>71.168599999999998</v>
      </c>
      <c r="Z89">
        <v>120000</v>
      </c>
      <c r="AA89">
        <v>0</v>
      </c>
      <c r="AB89" s="2">
        <v>11139</v>
      </c>
      <c r="AC89" s="2">
        <v>3763</v>
      </c>
      <c r="AD89" s="2">
        <v>99663</v>
      </c>
      <c r="AE89" s="2">
        <v>10220</v>
      </c>
      <c r="AF89" s="2">
        <v>4226</v>
      </c>
      <c r="AG89" s="2">
        <v>43449</v>
      </c>
      <c r="AH89" s="2">
        <v>14022</v>
      </c>
      <c r="AI89" s="2">
        <v>8790</v>
      </c>
      <c r="AJ89" s="2">
        <v>330209</v>
      </c>
      <c r="AK89">
        <v>0</v>
      </c>
      <c r="AL89" s="2">
        <v>0</v>
      </c>
      <c r="AM89">
        <v>0</v>
      </c>
      <c r="AN89">
        <v>0</v>
      </c>
      <c r="AO89">
        <v>694.31</v>
      </c>
      <c r="AP89">
        <v>12962.58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5</v>
      </c>
      <c r="BC89">
        <v>5</v>
      </c>
      <c r="BD89">
        <v>250</v>
      </c>
      <c r="BE89">
        <v>7920</v>
      </c>
      <c r="BF89">
        <v>60</v>
      </c>
      <c r="BG89">
        <v>20</v>
      </c>
      <c r="BH89" s="2">
        <v>20</v>
      </c>
      <c r="BI89" t="b">
        <v>1</v>
      </c>
      <c r="BJ89">
        <v>3</v>
      </c>
      <c r="BK89">
        <v>0</v>
      </c>
      <c r="BM89" t="b">
        <v>1</v>
      </c>
      <c r="BN89" t="b">
        <v>0</v>
      </c>
      <c r="BO89">
        <v>7</v>
      </c>
      <c r="BP89" s="2">
        <v>450000</v>
      </c>
      <c r="BQ89" t="s">
        <v>189</v>
      </c>
      <c r="BR89">
        <v>244316</v>
      </c>
      <c r="BS89" t="b">
        <v>0</v>
      </c>
      <c r="BT89" t="b">
        <v>0</v>
      </c>
      <c r="BU89">
        <v>300</v>
      </c>
      <c r="BV89" t="s">
        <v>39</v>
      </c>
      <c r="BW89">
        <v>0</v>
      </c>
      <c r="BX89" t="s">
        <v>190</v>
      </c>
      <c r="BY89" t="b">
        <v>0</v>
      </c>
      <c r="CA89" t="s">
        <v>165</v>
      </c>
      <c r="CB89" t="b">
        <v>0</v>
      </c>
    </row>
    <row r="90" spans="13:80" x14ac:dyDescent="0.2">
      <c r="M90" t="s">
        <v>40</v>
      </c>
      <c r="N90" s="1">
        <v>44246.58425925926</v>
      </c>
      <c r="O90">
        <v>9621346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120000</v>
      </c>
      <c r="AA90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>
        <v>0</v>
      </c>
      <c r="AL90" s="2">
        <v>0</v>
      </c>
      <c r="AM90">
        <v>0</v>
      </c>
      <c r="AN90">
        <v>0</v>
      </c>
      <c r="AO90">
        <v>0</v>
      </c>
      <c r="AP90">
        <v>0</v>
      </c>
      <c r="AQ90">
        <v>100</v>
      </c>
      <c r="AR90">
        <v>635</v>
      </c>
      <c r="AS90">
        <v>6.6000000000000003E-2</v>
      </c>
      <c r="AT90">
        <v>142702</v>
      </c>
      <c r="AU90">
        <v>14.831799999999999</v>
      </c>
      <c r="AV90">
        <v>31969</v>
      </c>
      <c r="AW90">
        <v>3.3227000000000002</v>
      </c>
      <c r="AX90">
        <v>11940</v>
      </c>
      <c r="AY90">
        <v>3355</v>
      </c>
      <c r="AZ90">
        <v>1325346</v>
      </c>
      <c r="BA90">
        <v>2764.78</v>
      </c>
      <c r="BB90">
        <v>1</v>
      </c>
      <c r="BC90">
        <v>10</v>
      </c>
      <c r="BD90">
        <v>-1</v>
      </c>
      <c r="BE90">
        <v>-1</v>
      </c>
      <c r="BF90">
        <v>60</v>
      </c>
      <c r="BG90">
        <v>20</v>
      </c>
      <c r="BH90" s="2">
        <v>20</v>
      </c>
      <c r="BI90" t="b">
        <v>1</v>
      </c>
      <c r="BJ90">
        <v>3</v>
      </c>
      <c r="BK90">
        <v>0</v>
      </c>
      <c r="BM90" t="b">
        <v>1</v>
      </c>
      <c r="BN90" t="b">
        <v>0</v>
      </c>
      <c r="BO90">
        <v>1</v>
      </c>
      <c r="BP90" s="2">
        <v>-1</v>
      </c>
      <c r="BQ90" t="s">
        <v>189</v>
      </c>
      <c r="BR90">
        <v>244316</v>
      </c>
      <c r="BS90" t="b">
        <v>0</v>
      </c>
      <c r="BT90" t="b">
        <v>1</v>
      </c>
      <c r="BU90">
        <v>300</v>
      </c>
      <c r="BV90" t="s">
        <v>39</v>
      </c>
      <c r="BW90">
        <v>0</v>
      </c>
      <c r="BX90" t="s">
        <v>166</v>
      </c>
      <c r="BY90" t="b">
        <v>0</v>
      </c>
      <c r="BZ90" t="s">
        <v>216</v>
      </c>
      <c r="CA90" t="s">
        <v>213</v>
      </c>
      <c r="CB90" t="b">
        <v>1</v>
      </c>
    </row>
    <row r="91" spans="13:80" x14ac:dyDescent="0.2">
      <c r="M91" t="s">
        <v>40</v>
      </c>
      <c r="N91" s="1">
        <v>44246.604722222219</v>
      </c>
      <c r="O91">
        <v>7862401</v>
      </c>
      <c r="P91">
        <v>29277</v>
      </c>
      <c r="Q91">
        <v>3.7237</v>
      </c>
      <c r="R91">
        <v>15250</v>
      </c>
      <c r="S91">
        <v>1.9396</v>
      </c>
      <c r="T91">
        <v>305</v>
      </c>
      <c r="U91">
        <v>3.8800000000000001E-2</v>
      </c>
      <c r="V91">
        <v>932181</v>
      </c>
      <c r="W91">
        <v>118.56189999999999</v>
      </c>
      <c r="X91">
        <v>954302</v>
      </c>
      <c r="Y91">
        <v>121.3754</v>
      </c>
      <c r="Z91">
        <v>120000</v>
      </c>
      <c r="AA91">
        <v>0</v>
      </c>
      <c r="AB91" s="2">
        <v>10244</v>
      </c>
      <c r="AC91" s="2">
        <v>4646</v>
      </c>
      <c r="AD91" s="2">
        <v>335728</v>
      </c>
      <c r="AE91" s="2">
        <v>9623</v>
      </c>
      <c r="AF91" s="2">
        <v>5320</v>
      </c>
      <c r="AG91" s="2">
        <v>44982</v>
      </c>
      <c r="AH91" s="2">
        <v>7572</v>
      </c>
      <c r="AI91" s="2">
        <v>4530</v>
      </c>
      <c r="AJ91" s="2">
        <v>173272</v>
      </c>
      <c r="AK91">
        <v>0</v>
      </c>
      <c r="AL91" s="2">
        <v>0</v>
      </c>
      <c r="AM91">
        <v>0</v>
      </c>
      <c r="AN91">
        <v>0</v>
      </c>
      <c r="AO91">
        <v>694.48</v>
      </c>
      <c r="AP91">
        <v>22113.15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5</v>
      </c>
      <c r="BC91">
        <v>5</v>
      </c>
      <c r="BD91">
        <v>250</v>
      </c>
      <c r="BE91">
        <v>7920</v>
      </c>
      <c r="BF91">
        <v>60</v>
      </c>
      <c r="BG91">
        <v>20</v>
      </c>
      <c r="BH91" s="2">
        <v>20</v>
      </c>
      <c r="BI91" t="b">
        <v>1</v>
      </c>
      <c r="BJ91">
        <v>3</v>
      </c>
      <c r="BK91">
        <v>0</v>
      </c>
      <c r="BM91" t="b">
        <v>1</v>
      </c>
      <c r="BN91" t="b">
        <v>0</v>
      </c>
      <c r="BO91">
        <v>7</v>
      </c>
      <c r="BP91" s="2">
        <v>450000</v>
      </c>
      <c r="BQ91" t="s">
        <v>189</v>
      </c>
      <c r="BR91">
        <v>244316</v>
      </c>
      <c r="BS91" t="b">
        <v>0</v>
      </c>
      <c r="BT91" t="b">
        <v>0</v>
      </c>
      <c r="BU91">
        <v>300</v>
      </c>
      <c r="BV91" t="s">
        <v>39</v>
      </c>
      <c r="BW91">
        <v>0</v>
      </c>
      <c r="BX91" t="s">
        <v>190</v>
      </c>
      <c r="BY91" t="b">
        <v>0</v>
      </c>
      <c r="CA91" t="s">
        <v>165</v>
      </c>
      <c r="CB91" t="b">
        <v>0</v>
      </c>
    </row>
    <row r="92" spans="13:80" x14ac:dyDescent="0.2">
      <c r="M92" t="s">
        <v>40</v>
      </c>
      <c r="N92" s="1">
        <v>44246.58425925926</v>
      </c>
      <c r="O92">
        <v>9621230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120000</v>
      </c>
      <c r="AA9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>
        <v>0</v>
      </c>
      <c r="AL92" s="2">
        <v>0</v>
      </c>
      <c r="AM92">
        <v>0</v>
      </c>
      <c r="AN92">
        <v>0</v>
      </c>
      <c r="AO92">
        <v>0</v>
      </c>
      <c r="AP92">
        <v>0</v>
      </c>
      <c r="AQ92">
        <v>100</v>
      </c>
      <c r="AR92">
        <v>628</v>
      </c>
      <c r="AS92">
        <v>6.5299999999999997E-2</v>
      </c>
      <c r="AT92">
        <v>143625</v>
      </c>
      <c r="AU92">
        <v>14.927899999999999</v>
      </c>
      <c r="AV92">
        <v>31978</v>
      </c>
      <c r="AW92">
        <v>3.3237000000000001</v>
      </c>
      <c r="AX92">
        <v>10597</v>
      </c>
      <c r="AY92">
        <v>4429</v>
      </c>
      <c r="AZ92">
        <v>726232</v>
      </c>
      <c r="BA92">
        <v>2786.33</v>
      </c>
      <c r="BB92">
        <v>1</v>
      </c>
      <c r="BC92">
        <v>10</v>
      </c>
      <c r="BD92">
        <v>-1</v>
      </c>
      <c r="BE92">
        <v>-1</v>
      </c>
      <c r="BF92">
        <v>60</v>
      </c>
      <c r="BG92">
        <v>20</v>
      </c>
      <c r="BH92" s="2">
        <v>20</v>
      </c>
      <c r="BI92" t="b">
        <v>1</v>
      </c>
      <c r="BJ92">
        <v>3</v>
      </c>
      <c r="BK92">
        <v>0</v>
      </c>
      <c r="BM92" t="b">
        <v>1</v>
      </c>
      <c r="BN92" t="b">
        <v>0</v>
      </c>
      <c r="BO92">
        <v>1</v>
      </c>
      <c r="BP92" s="2">
        <v>-1</v>
      </c>
      <c r="BQ92" t="s">
        <v>189</v>
      </c>
      <c r="BR92">
        <v>244316</v>
      </c>
      <c r="BS92" t="b">
        <v>0</v>
      </c>
      <c r="BT92" t="b">
        <v>1</v>
      </c>
      <c r="BU92">
        <v>300</v>
      </c>
      <c r="BV92" t="s">
        <v>39</v>
      </c>
      <c r="BW92">
        <v>0</v>
      </c>
      <c r="BX92" t="s">
        <v>166</v>
      </c>
      <c r="BY92" t="b">
        <v>0</v>
      </c>
      <c r="BZ92" t="s">
        <v>216</v>
      </c>
      <c r="CA92" t="s">
        <v>213</v>
      </c>
      <c r="CB92" t="b">
        <v>1</v>
      </c>
    </row>
    <row r="93" spans="13:80" x14ac:dyDescent="0.2">
      <c r="M93" t="s">
        <v>40</v>
      </c>
      <c r="N93" s="1">
        <v>44246.604722222219</v>
      </c>
      <c r="O93">
        <v>7862401</v>
      </c>
      <c r="P93">
        <v>29277</v>
      </c>
      <c r="Q93">
        <v>3.7237</v>
      </c>
      <c r="R93">
        <v>15250</v>
      </c>
      <c r="S93">
        <v>1.9396</v>
      </c>
      <c r="T93">
        <v>305</v>
      </c>
      <c r="U93">
        <v>3.8800000000000001E-2</v>
      </c>
      <c r="V93">
        <v>791283</v>
      </c>
      <c r="W93">
        <v>100.6414</v>
      </c>
      <c r="X93">
        <v>810170</v>
      </c>
      <c r="Y93">
        <v>103.0436</v>
      </c>
      <c r="Z93">
        <v>120000</v>
      </c>
      <c r="AA93">
        <v>0</v>
      </c>
      <c r="AB93" s="2">
        <v>8958</v>
      </c>
      <c r="AC93" s="2">
        <v>4924</v>
      </c>
      <c r="AD93" s="2">
        <v>80685</v>
      </c>
      <c r="AE93" s="2">
        <v>9843</v>
      </c>
      <c r="AF93" s="2">
        <v>5412</v>
      </c>
      <c r="AG93" s="2">
        <v>45825</v>
      </c>
      <c r="AH93" s="2">
        <v>9679</v>
      </c>
      <c r="AI93" s="2">
        <v>6967</v>
      </c>
      <c r="AJ93" s="2">
        <v>1339301</v>
      </c>
      <c r="AK93">
        <v>0</v>
      </c>
      <c r="AL93" s="2">
        <v>0</v>
      </c>
      <c r="AM93">
        <v>0</v>
      </c>
      <c r="AN93">
        <v>0</v>
      </c>
      <c r="AO93">
        <v>698.26</v>
      </c>
      <c r="AP93">
        <v>18870.490000000002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</v>
      </c>
      <c r="BC93">
        <v>5</v>
      </c>
      <c r="BD93">
        <v>250</v>
      </c>
      <c r="BE93">
        <v>7920</v>
      </c>
      <c r="BF93">
        <v>60</v>
      </c>
      <c r="BG93">
        <v>20</v>
      </c>
      <c r="BH93" s="2">
        <v>20</v>
      </c>
      <c r="BI93" t="b">
        <v>1</v>
      </c>
      <c r="BJ93">
        <v>3</v>
      </c>
      <c r="BK93">
        <v>0</v>
      </c>
      <c r="BM93" t="b">
        <v>1</v>
      </c>
      <c r="BN93" t="b">
        <v>0</v>
      </c>
      <c r="BO93">
        <v>7</v>
      </c>
      <c r="BP93" s="2">
        <v>450000</v>
      </c>
      <c r="BQ93" t="s">
        <v>189</v>
      </c>
      <c r="BR93">
        <v>244316</v>
      </c>
      <c r="BS93" t="b">
        <v>0</v>
      </c>
      <c r="BT93" t="b">
        <v>0</v>
      </c>
      <c r="BU93">
        <v>300</v>
      </c>
      <c r="BV93" t="s">
        <v>39</v>
      </c>
      <c r="BW93">
        <v>0</v>
      </c>
      <c r="BX93" t="s">
        <v>190</v>
      </c>
      <c r="BY93" t="b">
        <v>0</v>
      </c>
      <c r="CA93" t="s">
        <v>165</v>
      </c>
      <c r="CB93" t="b">
        <v>0</v>
      </c>
    </row>
    <row r="94" spans="13:80" x14ac:dyDescent="0.2">
      <c r="M94" t="s">
        <v>40</v>
      </c>
      <c r="N94" s="1">
        <v>44246.58425925926</v>
      </c>
      <c r="O94">
        <v>9621308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120000</v>
      </c>
      <c r="AA94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>
        <v>0</v>
      </c>
      <c r="AL94" s="2">
        <v>0</v>
      </c>
      <c r="AM94">
        <v>0</v>
      </c>
      <c r="AN94">
        <v>0</v>
      </c>
      <c r="AO94">
        <v>0</v>
      </c>
      <c r="AP94">
        <v>0</v>
      </c>
      <c r="AQ94">
        <v>100</v>
      </c>
      <c r="AR94">
        <v>611</v>
      </c>
      <c r="AS94">
        <v>6.3500000000000001E-2</v>
      </c>
      <c r="AT94">
        <v>142734</v>
      </c>
      <c r="AU94">
        <v>14.8352</v>
      </c>
      <c r="AV94">
        <v>31969</v>
      </c>
      <c r="AW94">
        <v>3.3227000000000002</v>
      </c>
      <c r="AX94">
        <v>12103</v>
      </c>
      <c r="AY94">
        <v>4714</v>
      </c>
      <c r="AZ94">
        <v>1316300</v>
      </c>
      <c r="BA94">
        <v>2780.66</v>
      </c>
      <c r="BB94">
        <v>1</v>
      </c>
      <c r="BC94">
        <v>10</v>
      </c>
      <c r="BD94">
        <v>-1</v>
      </c>
      <c r="BE94">
        <v>-1</v>
      </c>
      <c r="BF94">
        <v>60</v>
      </c>
      <c r="BG94">
        <v>20</v>
      </c>
      <c r="BH94" s="2">
        <v>20</v>
      </c>
      <c r="BI94" t="b">
        <v>1</v>
      </c>
      <c r="BJ94">
        <v>3</v>
      </c>
      <c r="BK94">
        <v>0</v>
      </c>
      <c r="BM94" t="b">
        <v>1</v>
      </c>
      <c r="BN94" t="b">
        <v>0</v>
      </c>
      <c r="BO94">
        <v>1</v>
      </c>
      <c r="BP94" s="2">
        <v>-1</v>
      </c>
      <c r="BQ94" t="s">
        <v>189</v>
      </c>
      <c r="BR94">
        <v>244316</v>
      </c>
      <c r="BS94" t="b">
        <v>0</v>
      </c>
      <c r="BT94" t="b">
        <v>1</v>
      </c>
      <c r="BU94">
        <v>300</v>
      </c>
      <c r="BV94" t="s">
        <v>39</v>
      </c>
      <c r="BW94">
        <v>0</v>
      </c>
      <c r="BX94" t="s">
        <v>166</v>
      </c>
      <c r="BY94" t="b">
        <v>0</v>
      </c>
      <c r="BZ94" t="s">
        <v>216</v>
      </c>
      <c r="CA94" t="s">
        <v>213</v>
      </c>
      <c r="CB94" t="b">
        <v>1</v>
      </c>
    </row>
    <row r="95" spans="13:80" x14ac:dyDescent="0.2">
      <c r="M95" t="s">
        <v>40</v>
      </c>
      <c r="N95" s="1">
        <v>44246.604745370372</v>
      </c>
      <c r="O95">
        <v>7862402</v>
      </c>
      <c r="P95">
        <v>29271</v>
      </c>
      <c r="Q95">
        <v>3.7229000000000001</v>
      </c>
      <c r="R95">
        <v>15250</v>
      </c>
      <c r="S95">
        <v>1.9396</v>
      </c>
      <c r="T95">
        <v>305</v>
      </c>
      <c r="U95">
        <v>3.8800000000000001E-2</v>
      </c>
      <c r="V95">
        <v>557890</v>
      </c>
      <c r="W95">
        <v>70.956699999999998</v>
      </c>
      <c r="X95">
        <v>571158</v>
      </c>
      <c r="Y95">
        <v>72.644199999999998</v>
      </c>
      <c r="Z95">
        <v>120000</v>
      </c>
      <c r="AA95">
        <v>0</v>
      </c>
      <c r="AB95" s="2">
        <v>7879</v>
      </c>
      <c r="AC95" s="2">
        <v>4900</v>
      </c>
      <c r="AD95" s="2">
        <v>77253</v>
      </c>
      <c r="AE95" s="2">
        <v>9740</v>
      </c>
      <c r="AF95" s="2">
        <v>5731</v>
      </c>
      <c r="AG95" s="2">
        <v>53005</v>
      </c>
      <c r="AH95" s="2">
        <v>13733</v>
      </c>
      <c r="AI95" s="2">
        <v>8340</v>
      </c>
      <c r="AJ95" s="2">
        <v>326169</v>
      </c>
      <c r="AK95">
        <v>0</v>
      </c>
      <c r="AL95" s="2">
        <v>0</v>
      </c>
      <c r="AM95">
        <v>0</v>
      </c>
      <c r="AN95">
        <v>0</v>
      </c>
      <c r="AO95">
        <v>698.07</v>
      </c>
      <c r="AP95">
        <v>13306.4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5</v>
      </c>
      <c r="BC95">
        <v>5</v>
      </c>
      <c r="BD95">
        <v>250</v>
      </c>
      <c r="BE95">
        <v>7920</v>
      </c>
      <c r="BF95">
        <v>60</v>
      </c>
      <c r="BG95">
        <v>20</v>
      </c>
      <c r="BH95" s="2">
        <v>20</v>
      </c>
      <c r="BI95" t="b">
        <v>1</v>
      </c>
      <c r="BJ95">
        <v>3</v>
      </c>
      <c r="BK95">
        <v>0</v>
      </c>
      <c r="BM95" t="b">
        <v>1</v>
      </c>
      <c r="BN95" t="b">
        <v>0</v>
      </c>
      <c r="BO95">
        <v>7</v>
      </c>
      <c r="BP95" s="2">
        <v>450000</v>
      </c>
      <c r="BQ95" t="s">
        <v>189</v>
      </c>
      <c r="BR95">
        <v>244316</v>
      </c>
      <c r="BS95" t="b">
        <v>0</v>
      </c>
      <c r="BT95" t="b">
        <v>0</v>
      </c>
      <c r="BU95">
        <v>300</v>
      </c>
      <c r="BV95" t="s">
        <v>39</v>
      </c>
      <c r="BW95">
        <v>0</v>
      </c>
      <c r="BX95" t="s">
        <v>190</v>
      </c>
      <c r="BY95" t="b">
        <v>0</v>
      </c>
      <c r="CA95" t="s">
        <v>165</v>
      </c>
      <c r="CB95" t="b">
        <v>0</v>
      </c>
    </row>
    <row r="96" spans="13:80" x14ac:dyDescent="0.2">
      <c r="M96" t="s">
        <v>40</v>
      </c>
      <c r="N96" s="1">
        <v>44246.584293981483</v>
      </c>
      <c r="O96">
        <v>9618550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120000</v>
      </c>
      <c r="AA96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>
        <v>0</v>
      </c>
      <c r="AL96" s="2">
        <v>0</v>
      </c>
      <c r="AM96">
        <v>0</v>
      </c>
      <c r="AN96">
        <v>0</v>
      </c>
      <c r="AO96">
        <v>0</v>
      </c>
      <c r="AP96">
        <v>0</v>
      </c>
      <c r="AQ96">
        <v>100</v>
      </c>
      <c r="AR96">
        <v>623</v>
      </c>
      <c r="AS96">
        <v>6.4799999999999996E-2</v>
      </c>
      <c r="AT96">
        <v>143132</v>
      </c>
      <c r="AU96">
        <v>14.880800000000001</v>
      </c>
      <c r="AV96">
        <v>31958</v>
      </c>
      <c r="AW96">
        <v>3.3224999999999998</v>
      </c>
      <c r="AX96">
        <v>12684</v>
      </c>
      <c r="AY96">
        <v>4876</v>
      </c>
      <c r="AZ96">
        <v>1074206</v>
      </c>
      <c r="BA96">
        <v>2793.43</v>
      </c>
      <c r="BB96">
        <v>1</v>
      </c>
      <c r="BC96">
        <v>10</v>
      </c>
      <c r="BD96">
        <v>-1</v>
      </c>
      <c r="BE96">
        <v>-1</v>
      </c>
      <c r="BF96">
        <v>60</v>
      </c>
      <c r="BG96">
        <v>20</v>
      </c>
      <c r="BH96" s="2">
        <v>20</v>
      </c>
      <c r="BI96" t="b">
        <v>1</v>
      </c>
      <c r="BJ96">
        <v>3</v>
      </c>
      <c r="BK96">
        <v>0</v>
      </c>
      <c r="BM96" t="b">
        <v>1</v>
      </c>
      <c r="BN96" t="b">
        <v>0</v>
      </c>
      <c r="BO96">
        <v>1</v>
      </c>
      <c r="BP96" s="2">
        <v>-1</v>
      </c>
      <c r="BQ96" t="s">
        <v>189</v>
      </c>
      <c r="BR96">
        <v>244316</v>
      </c>
      <c r="BS96" t="b">
        <v>0</v>
      </c>
      <c r="BT96" t="b">
        <v>1</v>
      </c>
      <c r="BU96">
        <v>300</v>
      </c>
      <c r="BV96" t="s">
        <v>39</v>
      </c>
      <c r="BW96">
        <v>0</v>
      </c>
      <c r="BX96" t="s">
        <v>166</v>
      </c>
      <c r="BY96" t="b">
        <v>0</v>
      </c>
      <c r="BZ96" t="s">
        <v>216</v>
      </c>
      <c r="CA96" t="s">
        <v>213</v>
      </c>
      <c r="CB96" t="b">
        <v>1</v>
      </c>
    </row>
    <row r="97" spans="13:80" x14ac:dyDescent="0.2">
      <c r="M97" t="s">
        <v>40</v>
      </c>
      <c r="N97" s="1">
        <v>44246.604768518519</v>
      </c>
      <c r="O97">
        <v>7862403</v>
      </c>
      <c r="P97">
        <v>29268</v>
      </c>
      <c r="Q97">
        <v>3.7225000000000001</v>
      </c>
      <c r="R97">
        <v>15250</v>
      </c>
      <c r="S97">
        <v>1.9396</v>
      </c>
      <c r="T97">
        <v>305</v>
      </c>
      <c r="U97">
        <v>3.8800000000000001E-2</v>
      </c>
      <c r="V97">
        <v>902930</v>
      </c>
      <c r="W97">
        <v>114.8415</v>
      </c>
      <c r="X97">
        <v>924308</v>
      </c>
      <c r="Y97">
        <v>117.5605</v>
      </c>
      <c r="Z97">
        <v>120000</v>
      </c>
      <c r="AA97">
        <v>0</v>
      </c>
      <c r="AB97" s="2">
        <v>10352</v>
      </c>
      <c r="AC97" s="2">
        <v>3458</v>
      </c>
      <c r="AD97" s="2">
        <v>1248497</v>
      </c>
      <c r="AE97" s="2">
        <v>9441</v>
      </c>
      <c r="AF97" s="2">
        <v>4201</v>
      </c>
      <c r="AG97" s="2">
        <v>39831</v>
      </c>
      <c r="AH97" s="2">
        <v>8478</v>
      </c>
      <c r="AI97" s="2">
        <v>6128</v>
      </c>
      <c r="AJ97" s="2">
        <v>119172</v>
      </c>
      <c r="AK97">
        <v>0</v>
      </c>
      <c r="AL97" s="2">
        <v>0</v>
      </c>
      <c r="AM97">
        <v>0</v>
      </c>
      <c r="AN97">
        <v>0</v>
      </c>
      <c r="AO97">
        <v>697.81</v>
      </c>
      <c r="AP97">
        <v>21532.33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5</v>
      </c>
      <c r="BC97">
        <v>5</v>
      </c>
      <c r="BD97">
        <v>250</v>
      </c>
      <c r="BE97">
        <v>7920</v>
      </c>
      <c r="BF97">
        <v>60</v>
      </c>
      <c r="BG97">
        <v>20</v>
      </c>
      <c r="BH97" s="2">
        <v>20</v>
      </c>
      <c r="BI97" t="b">
        <v>1</v>
      </c>
      <c r="BJ97">
        <v>3</v>
      </c>
      <c r="BK97">
        <v>0</v>
      </c>
      <c r="BM97" t="b">
        <v>1</v>
      </c>
      <c r="BN97" t="b">
        <v>0</v>
      </c>
      <c r="BO97">
        <v>7</v>
      </c>
      <c r="BP97" s="2">
        <v>450000</v>
      </c>
      <c r="BQ97" t="s">
        <v>189</v>
      </c>
      <c r="BR97">
        <v>244316</v>
      </c>
      <c r="BS97" t="b">
        <v>0</v>
      </c>
      <c r="BT97" t="b">
        <v>0</v>
      </c>
      <c r="BU97">
        <v>300</v>
      </c>
      <c r="BV97" t="s">
        <v>39</v>
      </c>
      <c r="BW97">
        <v>0</v>
      </c>
      <c r="BX97" t="s">
        <v>190</v>
      </c>
      <c r="BY97" t="b">
        <v>0</v>
      </c>
      <c r="CA97" t="s">
        <v>165</v>
      </c>
      <c r="CB97" t="b">
        <v>0</v>
      </c>
    </row>
    <row r="98" spans="13:80" x14ac:dyDescent="0.2">
      <c r="M98" t="s">
        <v>40</v>
      </c>
      <c r="N98" s="1">
        <v>44246.584305555552</v>
      </c>
      <c r="O98">
        <v>9617461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120000</v>
      </c>
      <c r="AA98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>
        <v>0</v>
      </c>
      <c r="AL98" s="2">
        <v>0</v>
      </c>
      <c r="AM98">
        <v>0</v>
      </c>
      <c r="AN98">
        <v>0</v>
      </c>
      <c r="AO98">
        <v>0</v>
      </c>
      <c r="AP98">
        <v>0</v>
      </c>
      <c r="AQ98">
        <v>100</v>
      </c>
      <c r="AR98">
        <v>626</v>
      </c>
      <c r="AS98">
        <v>6.5100000000000005E-2</v>
      </c>
      <c r="AT98">
        <v>142813</v>
      </c>
      <c r="AU98">
        <v>14.849299999999999</v>
      </c>
      <c r="AV98">
        <v>31956</v>
      </c>
      <c r="AW98">
        <v>3.3227000000000002</v>
      </c>
      <c r="AX98">
        <v>11974</v>
      </c>
      <c r="AY98">
        <v>3339</v>
      </c>
      <c r="AZ98">
        <v>755901</v>
      </c>
      <c r="BA98">
        <v>2781.63</v>
      </c>
      <c r="BB98">
        <v>1</v>
      </c>
      <c r="BC98">
        <v>10</v>
      </c>
      <c r="BD98">
        <v>-1</v>
      </c>
      <c r="BE98">
        <v>-1</v>
      </c>
      <c r="BF98">
        <v>60</v>
      </c>
      <c r="BG98">
        <v>20</v>
      </c>
      <c r="BH98" s="2">
        <v>20</v>
      </c>
      <c r="BI98" t="b">
        <v>1</v>
      </c>
      <c r="BJ98">
        <v>3</v>
      </c>
      <c r="BK98">
        <v>0</v>
      </c>
      <c r="BM98" t="b">
        <v>1</v>
      </c>
      <c r="BN98" t="b">
        <v>0</v>
      </c>
      <c r="BO98">
        <v>1</v>
      </c>
      <c r="BP98" s="2">
        <v>-1</v>
      </c>
      <c r="BQ98" t="s">
        <v>189</v>
      </c>
      <c r="BR98">
        <v>244316</v>
      </c>
      <c r="BS98" t="b">
        <v>0</v>
      </c>
      <c r="BT98" t="b">
        <v>1</v>
      </c>
      <c r="BU98">
        <v>300</v>
      </c>
      <c r="BV98" t="s">
        <v>39</v>
      </c>
      <c r="BW98">
        <v>0</v>
      </c>
      <c r="BX98" t="s">
        <v>166</v>
      </c>
      <c r="BY98" t="b">
        <v>0</v>
      </c>
      <c r="BZ98" t="s">
        <v>216</v>
      </c>
      <c r="CA98" t="s">
        <v>213</v>
      </c>
      <c r="CB98" t="b">
        <v>1</v>
      </c>
    </row>
    <row r="99" spans="13:80" x14ac:dyDescent="0.2">
      <c r="M99" t="s">
        <v>40</v>
      </c>
      <c r="N99" s="1">
        <v>44246.604722222219</v>
      </c>
      <c r="O99">
        <v>7862401</v>
      </c>
      <c r="P99">
        <v>29276</v>
      </c>
      <c r="Q99">
        <v>3.7235</v>
      </c>
      <c r="R99">
        <v>15250</v>
      </c>
      <c r="S99">
        <v>1.9396</v>
      </c>
      <c r="T99">
        <v>305</v>
      </c>
      <c r="U99">
        <v>3.8800000000000001E-2</v>
      </c>
      <c r="V99">
        <v>700073</v>
      </c>
      <c r="W99">
        <v>89.040599999999998</v>
      </c>
      <c r="X99">
        <v>716541</v>
      </c>
      <c r="Y99">
        <v>91.135099999999994</v>
      </c>
      <c r="Z99">
        <v>120000</v>
      </c>
      <c r="AA99">
        <v>0</v>
      </c>
      <c r="AB99" s="2">
        <v>8999</v>
      </c>
      <c r="AC99" s="2">
        <v>4969</v>
      </c>
      <c r="AD99" s="2">
        <v>84165</v>
      </c>
      <c r="AE99" s="2">
        <v>9833</v>
      </c>
      <c r="AF99" s="2">
        <v>5662</v>
      </c>
      <c r="AG99" s="2">
        <v>31876</v>
      </c>
      <c r="AH99" s="2">
        <v>10947</v>
      </c>
      <c r="AI99" s="2">
        <v>7154</v>
      </c>
      <c r="AJ99" s="2">
        <v>342322</v>
      </c>
      <c r="AK99">
        <v>0</v>
      </c>
      <c r="AL99" s="2">
        <v>0</v>
      </c>
      <c r="AM99">
        <v>0</v>
      </c>
      <c r="AN99">
        <v>0</v>
      </c>
      <c r="AO99">
        <v>701.84</v>
      </c>
      <c r="AP99">
        <v>16786.57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5</v>
      </c>
      <c r="BC99">
        <v>5</v>
      </c>
      <c r="BD99">
        <v>250</v>
      </c>
      <c r="BE99">
        <v>7920</v>
      </c>
      <c r="BF99">
        <v>60</v>
      </c>
      <c r="BG99">
        <v>20</v>
      </c>
      <c r="BH99" s="2">
        <v>20</v>
      </c>
      <c r="BI99" t="b">
        <v>1</v>
      </c>
      <c r="BJ99">
        <v>3</v>
      </c>
      <c r="BK99">
        <v>0</v>
      </c>
      <c r="BM99" t="b">
        <v>1</v>
      </c>
      <c r="BN99" t="b">
        <v>0</v>
      </c>
      <c r="BO99">
        <v>7</v>
      </c>
      <c r="BP99" s="2">
        <v>450000</v>
      </c>
      <c r="BQ99" t="s">
        <v>189</v>
      </c>
      <c r="BR99">
        <v>244316</v>
      </c>
      <c r="BS99" t="b">
        <v>0</v>
      </c>
      <c r="BT99" t="b">
        <v>0</v>
      </c>
      <c r="BU99">
        <v>300</v>
      </c>
      <c r="BV99" t="s">
        <v>39</v>
      </c>
      <c r="BW99">
        <v>0</v>
      </c>
      <c r="BX99" t="s">
        <v>190</v>
      </c>
      <c r="BY99" t="b">
        <v>0</v>
      </c>
      <c r="CA99" t="s">
        <v>165</v>
      </c>
      <c r="CB99" t="b">
        <v>0</v>
      </c>
    </row>
    <row r="100" spans="13:80" x14ac:dyDescent="0.2">
      <c r="M100" t="s">
        <v>40</v>
      </c>
      <c r="N100" s="1">
        <v>44246.58425925926</v>
      </c>
      <c r="O100">
        <v>9620830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120000</v>
      </c>
      <c r="AA100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>
        <v>0</v>
      </c>
      <c r="AL100" s="2">
        <v>0</v>
      </c>
      <c r="AM100">
        <v>0</v>
      </c>
      <c r="AN100">
        <v>0</v>
      </c>
      <c r="AO100">
        <v>0</v>
      </c>
      <c r="AP100">
        <v>0</v>
      </c>
      <c r="AQ100">
        <v>100</v>
      </c>
      <c r="AR100">
        <v>593</v>
      </c>
      <c r="AS100">
        <v>6.1600000000000002E-2</v>
      </c>
      <c r="AT100">
        <v>144909</v>
      </c>
      <c r="AU100">
        <v>15.061999999999999</v>
      </c>
      <c r="AV100">
        <v>31963</v>
      </c>
      <c r="AW100">
        <v>3.3222999999999998</v>
      </c>
      <c r="AX100">
        <v>12181</v>
      </c>
      <c r="AY100">
        <v>4698</v>
      </c>
      <c r="AZ100">
        <v>922754</v>
      </c>
      <c r="BA100">
        <v>2843.15</v>
      </c>
      <c r="BB100">
        <v>1</v>
      </c>
      <c r="BC100">
        <v>10</v>
      </c>
      <c r="BD100">
        <v>-1</v>
      </c>
      <c r="BE100">
        <v>-1</v>
      </c>
      <c r="BF100">
        <v>60</v>
      </c>
      <c r="BG100">
        <v>20</v>
      </c>
      <c r="BH100" s="2">
        <v>20</v>
      </c>
      <c r="BI100" t="b">
        <v>1</v>
      </c>
      <c r="BJ100">
        <v>3</v>
      </c>
      <c r="BK100">
        <v>0</v>
      </c>
      <c r="BM100" t="b">
        <v>1</v>
      </c>
      <c r="BN100" t="b">
        <v>0</v>
      </c>
      <c r="BO100">
        <v>1</v>
      </c>
      <c r="BP100" s="2">
        <v>-1</v>
      </c>
      <c r="BQ100" t="s">
        <v>189</v>
      </c>
      <c r="BR100">
        <v>244316</v>
      </c>
      <c r="BS100" t="b">
        <v>0</v>
      </c>
      <c r="BT100" t="b">
        <v>1</v>
      </c>
      <c r="BU100">
        <v>300</v>
      </c>
      <c r="BV100" t="s">
        <v>39</v>
      </c>
      <c r="BW100">
        <v>0</v>
      </c>
      <c r="BX100" t="s">
        <v>166</v>
      </c>
      <c r="BY100" t="b">
        <v>0</v>
      </c>
      <c r="BZ100" t="s">
        <v>216</v>
      </c>
      <c r="CA100" t="s">
        <v>213</v>
      </c>
      <c r="CB100" t="b">
        <v>1</v>
      </c>
    </row>
    <row r="101" spans="13:80" x14ac:dyDescent="0.2">
      <c r="M101" t="s">
        <v>40</v>
      </c>
      <c r="N101" s="1">
        <v>44246.604745370372</v>
      </c>
      <c r="O101">
        <v>7862401</v>
      </c>
      <c r="P101">
        <v>29272</v>
      </c>
      <c r="Q101">
        <v>3.7229999999999999</v>
      </c>
      <c r="R101">
        <v>15250</v>
      </c>
      <c r="S101">
        <v>1.9396</v>
      </c>
      <c r="T101">
        <v>305</v>
      </c>
      <c r="U101">
        <v>3.8800000000000001E-2</v>
      </c>
      <c r="V101">
        <v>794536</v>
      </c>
      <c r="W101">
        <v>101.0551</v>
      </c>
      <c r="X101">
        <v>813476</v>
      </c>
      <c r="Y101">
        <v>103.4641</v>
      </c>
      <c r="Z101">
        <v>120000</v>
      </c>
      <c r="AA101">
        <v>0</v>
      </c>
      <c r="AB101" s="2">
        <v>11893</v>
      </c>
      <c r="AC101" s="2">
        <v>3984</v>
      </c>
      <c r="AD101" s="2">
        <v>1287184</v>
      </c>
      <c r="AE101" s="2">
        <v>10210</v>
      </c>
      <c r="AF101" s="2">
        <v>4689</v>
      </c>
      <c r="AG101" s="2">
        <v>35217</v>
      </c>
      <c r="AH101" s="2">
        <v>9642</v>
      </c>
      <c r="AI101" s="2">
        <v>6753</v>
      </c>
      <c r="AJ101" s="2">
        <v>1436933</v>
      </c>
      <c r="AK101">
        <v>0</v>
      </c>
      <c r="AL101" s="2">
        <v>0</v>
      </c>
      <c r="AM101">
        <v>0</v>
      </c>
      <c r="AN101">
        <v>0</v>
      </c>
      <c r="AO101">
        <v>701.68</v>
      </c>
      <c r="AP101">
        <v>19046.84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5</v>
      </c>
      <c r="BC101">
        <v>5</v>
      </c>
      <c r="BD101">
        <v>250</v>
      </c>
      <c r="BE101">
        <v>7920</v>
      </c>
      <c r="BF101">
        <v>60</v>
      </c>
      <c r="BG101">
        <v>20</v>
      </c>
      <c r="BH101" s="2">
        <v>20</v>
      </c>
      <c r="BI101" t="b">
        <v>1</v>
      </c>
      <c r="BJ101">
        <v>3</v>
      </c>
      <c r="BK101">
        <v>0</v>
      </c>
      <c r="BM101" t="b">
        <v>1</v>
      </c>
      <c r="BN101" t="b">
        <v>0</v>
      </c>
      <c r="BO101">
        <v>7</v>
      </c>
      <c r="BP101" s="2">
        <v>450000</v>
      </c>
      <c r="BQ101" t="s">
        <v>189</v>
      </c>
      <c r="BR101">
        <v>244316</v>
      </c>
      <c r="BS101" t="b">
        <v>0</v>
      </c>
      <c r="BT101" t="b">
        <v>0</v>
      </c>
      <c r="BU101">
        <v>300</v>
      </c>
      <c r="BV101" t="s">
        <v>39</v>
      </c>
      <c r="BW101">
        <v>0</v>
      </c>
      <c r="BX101" t="s">
        <v>190</v>
      </c>
      <c r="BY101" t="b">
        <v>0</v>
      </c>
      <c r="CA101" t="s">
        <v>165</v>
      </c>
      <c r="CB101" t="b">
        <v>0</v>
      </c>
    </row>
    <row r="102" spans="13:80" x14ac:dyDescent="0.2">
      <c r="M102" t="s">
        <v>40</v>
      </c>
      <c r="N102" s="1">
        <v>44246.584282407406</v>
      </c>
      <c r="O102">
        <v>9619062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120000</v>
      </c>
      <c r="AA10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>
        <v>0</v>
      </c>
      <c r="AL102" s="2">
        <v>0</v>
      </c>
      <c r="AM102">
        <v>0</v>
      </c>
      <c r="AN102">
        <v>0</v>
      </c>
      <c r="AO102">
        <v>0</v>
      </c>
      <c r="AP102">
        <v>0</v>
      </c>
      <c r="AQ102">
        <v>100</v>
      </c>
      <c r="AR102">
        <v>664</v>
      </c>
      <c r="AS102">
        <v>6.9000000000000006E-2</v>
      </c>
      <c r="AT102">
        <v>142264</v>
      </c>
      <c r="AU102">
        <v>14.7898</v>
      </c>
      <c r="AV102">
        <v>31962</v>
      </c>
      <c r="AW102">
        <v>3.3228</v>
      </c>
      <c r="AX102">
        <v>11163</v>
      </c>
      <c r="AY102">
        <v>3347</v>
      </c>
      <c r="AZ102">
        <v>1158255</v>
      </c>
      <c r="BA102">
        <v>2797.17</v>
      </c>
      <c r="BB102">
        <v>1</v>
      </c>
      <c r="BC102">
        <v>10</v>
      </c>
      <c r="BD102">
        <v>-1</v>
      </c>
      <c r="BE102">
        <v>-1</v>
      </c>
      <c r="BF102">
        <v>60</v>
      </c>
      <c r="BG102">
        <v>20</v>
      </c>
      <c r="BH102" s="2">
        <v>20</v>
      </c>
      <c r="BI102" t="b">
        <v>1</v>
      </c>
      <c r="BJ102">
        <v>3</v>
      </c>
      <c r="BK102">
        <v>0</v>
      </c>
      <c r="BM102" t="b">
        <v>1</v>
      </c>
      <c r="BN102" t="b">
        <v>0</v>
      </c>
      <c r="BO102">
        <v>1</v>
      </c>
      <c r="BP102" s="2">
        <v>-1</v>
      </c>
      <c r="BQ102" t="s">
        <v>189</v>
      </c>
      <c r="BR102">
        <v>244316</v>
      </c>
      <c r="BS102" t="b">
        <v>0</v>
      </c>
      <c r="BT102" t="b">
        <v>1</v>
      </c>
      <c r="BU102">
        <v>300</v>
      </c>
      <c r="BV102" t="s">
        <v>39</v>
      </c>
      <c r="BW102">
        <v>0</v>
      </c>
      <c r="BX102" t="s">
        <v>166</v>
      </c>
      <c r="BY102" t="b">
        <v>0</v>
      </c>
      <c r="BZ102" t="s">
        <v>216</v>
      </c>
      <c r="CA102" t="s">
        <v>213</v>
      </c>
      <c r="CB102" t="b">
        <v>1</v>
      </c>
    </row>
    <row r="103" spans="13:80" x14ac:dyDescent="0.2">
      <c r="M103" t="s">
        <v>40</v>
      </c>
      <c r="N103" s="1">
        <v>44246.604756944442</v>
      </c>
      <c r="O103">
        <v>7862402</v>
      </c>
      <c r="P103">
        <v>29270</v>
      </c>
      <c r="Q103">
        <v>3.7227999999999999</v>
      </c>
      <c r="R103">
        <v>15250</v>
      </c>
      <c r="S103">
        <v>1.9396</v>
      </c>
      <c r="T103">
        <v>305</v>
      </c>
      <c r="U103">
        <v>3.8800000000000001E-2</v>
      </c>
      <c r="V103">
        <v>601045</v>
      </c>
      <c r="W103">
        <v>76.445499999999996</v>
      </c>
      <c r="X103">
        <v>615234</v>
      </c>
      <c r="Y103">
        <v>78.250100000000003</v>
      </c>
      <c r="Z103">
        <v>120000</v>
      </c>
      <c r="AA103">
        <v>0</v>
      </c>
      <c r="AB103" s="2">
        <v>8932</v>
      </c>
      <c r="AC103" s="2">
        <v>5075</v>
      </c>
      <c r="AD103" s="2">
        <v>168462</v>
      </c>
      <c r="AE103" s="2">
        <v>8892</v>
      </c>
      <c r="AF103" s="2">
        <v>5732</v>
      </c>
      <c r="AG103" s="2">
        <v>36020</v>
      </c>
      <c r="AH103" s="2">
        <v>12748</v>
      </c>
      <c r="AI103" s="2">
        <v>8362</v>
      </c>
      <c r="AJ103" s="2">
        <v>337892</v>
      </c>
      <c r="AK103">
        <v>0</v>
      </c>
      <c r="AL103" s="2">
        <v>0</v>
      </c>
      <c r="AM103">
        <v>0</v>
      </c>
      <c r="AN103">
        <v>0</v>
      </c>
      <c r="AO103">
        <v>701.61</v>
      </c>
      <c r="AP103">
        <v>14410.06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5</v>
      </c>
      <c r="BC103">
        <v>5</v>
      </c>
      <c r="BD103">
        <v>250</v>
      </c>
      <c r="BE103">
        <v>7920</v>
      </c>
      <c r="BF103">
        <v>60</v>
      </c>
      <c r="BG103">
        <v>20</v>
      </c>
      <c r="BH103" s="2">
        <v>20</v>
      </c>
      <c r="BI103" t="b">
        <v>1</v>
      </c>
      <c r="BJ103">
        <v>3</v>
      </c>
      <c r="BK103">
        <v>0</v>
      </c>
      <c r="BM103" t="b">
        <v>1</v>
      </c>
      <c r="BN103" t="b">
        <v>0</v>
      </c>
      <c r="BO103">
        <v>7</v>
      </c>
      <c r="BP103" s="2">
        <v>450000</v>
      </c>
      <c r="BQ103" t="s">
        <v>189</v>
      </c>
      <c r="BR103">
        <v>244316</v>
      </c>
      <c r="BS103" t="b">
        <v>0</v>
      </c>
      <c r="BT103" t="b">
        <v>0</v>
      </c>
      <c r="BU103">
        <v>300</v>
      </c>
      <c r="BV103" t="s">
        <v>39</v>
      </c>
      <c r="BW103">
        <v>0</v>
      </c>
      <c r="BX103" t="s">
        <v>190</v>
      </c>
      <c r="BY103" t="b">
        <v>0</v>
      </c>
      <c r="CA103" t="s">
        <v>165</v>
      </c>
      <c r="CB103" t="b">
        <v>0</v>
      </c>
    </row>
    <row r="104" spans="13:80" x14ac:dyDescent="0.2">
      <c r="M104" t="s">
        <v>40</v>
      </c>
      <c r="N104" s="1">
        <v>44246.584293981483</v>
      </c>
      <c r="O104">
        <v>9618215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120000</v>
      </c>
      <c r="AA104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>
        <v>0</v>
      </c>
      <c r="AL104" s="2">
        <v>0</v>
      </c>
      <c r="AM104">
        <v>0</v>
      </c>
      <c r="AN104">
        <v>0</v>
      </c>
      <c r="AO104">
        <v>0</v>
      </c>
      <c r="AP104">
        <v>0</v>
      </c>
      <c r="AQ104">
        <v>100</v>
      </c>
      <c r="AR104">
        <v>632</v>
      </c>
      <c r="AS104">
        <v>6.5699999999999995E-2</v>
      </c>
      <c r="AT104">
        <v>142609</v>
      </c>
      <c r="AU104">
        <v>14.827</v>
      </c>
      <c r="AV104">
        <v>31951</v>
      </c>
      <c r="AW104">
        <v>3.3218999999999999</v>
      </c>
      <c r="AX104">
        <v>12000</v>
      </c>
      <c r="AY104">
        <v>5040</v>
      </c>
      <c r="AZ104">
        <v>1211604</v>
      </c>
      <c r="BA104">
        <v>2792.26</v>
      </c>
      <c r="BB104">
        <v>1</v>
      </c>
      <c r="BC104">
        <v>10</v>
      </c>
      <c r="BD104">
        <v>-1</v>
      </c>
      <c r="BE104">
        <v>-1</v>
      </c>
      <c r="BF104">
        <v>60</v>
      </c>
      <c r="BG104">
        <v>20</v>
      </c>
      <c r="BH104" s="2">
        <v>20</v>
      </c>
      <c r="BI104" t="b">
        <v>1</v>
      </c>
      <c r="BJ104">
        <v>3</v>
      </c>
      <c r="BK104">
        <v>0</v>
      </c>
      <c r="BM104" t="b">
        <v>1</v>
      </c>
      <c r="BN104" t="b">
        <v>0</v>
      </c>
      <c r="BO104">
        <v>1</v>
      </c>
      <c r="BP104" s="2">
        <v>-1</v>
      </c>
      <c r="BQ104" t="s">
        <v>189</v>
      </c>
      <c r="BR104">
        <v>244316</v>
      </c>
      <c r="BS104" t="b">
        <v>0</v>
      </c>
      <c r="BT104" t="b">
        <v>1</v>
      </c>
      <c r="BU104">
        <v>300</v>
      </c>
      <c r="BV104" t="s">
        <v>39</v>
      </c>
      <c r="BW104">
        <v>0</v>
      </c>
      <c r="BX104" t="s">
        <v>166</v>
      </c>
      <c r="BY104" t="b">
        <v>0</v>
      </c>
      <c r="BZ104" t="s">
        <v>216</v>
      </c>
      <c r="CA104" t="s">
        <v>213</v>
      </c>
      <c r="CB104" t="b">
        <v>1</v>
      </c>
    </row>
    <row r="105" spans="13:80" x14ac:dyDescent="0.2">
      <c r="M105" t="s">
        <v>40</v>
      </c>
      <c r="N105" s="1">
        <v>44246.604745370372</v>
      </c>
      <c r="O105">
        <v>7862403</v>
      </c>
      <c r="P105">
        <v>29271</v>
      </c>
      <c r="Q105">
        <v>3.7229000000000001</v>
      </c>
      <c r="R105">
        <v>15250</v>
      </c>
      <c r="S105">
        <v>1.9396</v>
      </c>
      <c r="T105">
        <v>305</v>
      </c>
      <c r="U105">
        <v>3.8800000000000001E-2</v>
      </c>
      <c r="V105">
        <v>909573</v>
      </c>
      <c r="W105">
        <v>115.68640000000001</v>
      </c>
      <c r="X105">
        <v>930950</v>
      </c>
      <c r="Y105">
        <v>118.4053</v>
      </c>
      <c r="Z105">
        <v>120000</v>
      </c>
      <c r="AA105">
        <v>0</v>
      </c>
      <c r="AB105" s="2">
        <v>9437</v>
      </c>
      <c r="AC105" s="2">
        <v>4829</v>
      </c>
      <c r="AD105" s="2">
        <v>1080602</v>
      </c>
      <c r="AE105" s="2">
        <v>9006</v>
      </c>
      <c r="AF105" s="2">
        <v>5465</v>
      </c>
      <c r="AG105" s="2">
        <v>42498</v>
      </c>
      <c r="AH105" s="2">
        <v>8419</v>
      </c>
      <c r="AI105" s="2">
        <v>6106</v>
      </c>
      <c r="AJ105" s="2">
        <v>117763</v>
      </c>
      <c r="AK105">
        <v>0</v>
      </c>
      <c r="AL105" s="2">
        <v>0</v>
      </c>
      <c r="AM105">
        <v>0</v>
      </c>
      <c r="AN105">
        <v>0</v>
      </c>
      <c r="AO105">
        <v>697.97</v>
      </c>
      <c r="AP105">
        <v>21690.66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5</v>
      </c>
      <c r="BC105">
        <v>5</v>
      </c>
      <c r="BD105">
        <v>250</v>
      </c>
      <c r="BE105">
        <v>7920</v>
      </c>
      <c r="BF105">
        <v>60</v>
      </c>
      <c r="BG105">
        <v>20</v>
      </c>
      <c r="BH105" s="2">
        <v>20</v>
      </c>
      <c r="BI105" t="b">
        <v>1</v>
      </c>
      <c r="BJ105">
        <v>3</v>
      </c>
      <c r="BK105">
        <v>0</v>
      </c>
      <c r="BM105" t="b">
        <v>1</v>
      </c>
      <c r="BN105" t="b">
        <v>0</v>
      </c>
      <c r="BO105">
        <v>7</v>
      </c>
      <c r="BP105" s="2">
        <v>450000</v>
      </c>
      <c r="BQ105" t="s">
        <v>189</v>
      </c>
      <c r="BR105">
        <v>244316</v>
      </c>
      <c r="BS105" t="b">
        <v>0</v>
      </c>
      <c r="BT105" t="b">
        <v>0</v>
      </c>
      <c r="BU105">
        <v>300</v>
      </c>
      <c r="BV105" t="s">
        <v>39</v>
      </c>
      <c r="BW105">
        <v>0</v>
      </c>
      <c r="BX105" t="s">
        <v>190</v>
      </c>
      <c r="BY105" t="b">
        <v>0</v>
      </c>
      <c r="CA105" t="s">
        <v>165</v>
      </c>
      <c r="CB105" t="b">
        <v>0</v>
      </c>
    </row>
    <row r="106" spans="13:80" x14ac:dyDescent="0.2">
      <c r="M106" t="s">
        <v>40</v>
      </c>
      <c r="N106" s="1">
        <v>44246.584293981483</v>
      </c>
      <c r="O106">
        <v>9618573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120000</v>
      </c>
      <c r="AA106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>
        <v>0</v>
      </c>
      <c r="AL106" s="2">
        <v>0</v>
      </c>
      <c r="AM106">
        <v>0</v>
      </c>
      <c r="AN106">
        <v>0</v>
      </c>
      <c r="AO106">
        <v>0</v>
      </c>
      <c r="AP106">
        <v>0</v>
      </c>
      <c r="AQ106">
        <v>100</v>
      </c>
      <c r="AR106">
        <v>635</v>
      </c>
      <c r="AS106">
        <v>6.6000000000000003E-2</v>
      </c>
      <c r="AT106">
        <v>143268</v>
      </c>
      <c r="AU106">
        <v>14.8949</v>
      </c>
      <c r="AV106">
        <v>31966</v>
      </c>
      <c r="AW106">
        <v>3.3233999999999999</v>
      </c>
      <c r="AX106">
        <v>12353</v>
      </c>
      <c r="AY106">
        <v>4480</v>
      </c>
      <c r="AZ106">
        <v>1165301</v>
      </c>
      <c r="BA106">
        <v>2790.34</v>
      </c>
      <c r="BB106">
        <v>1</v>
      </c>
      <c r="BC106">
        <v>10</v>
      </c>
      <c r="BD106">
        <v>-1</v>
      </c>
      <c r="BE106">
        <v>-1</v>
      </c>
      <c r="BF106">
        <v>60</v>
      </c>
      <c r="BG106">
        <v>20</v>
      </c>
      <c r="BH106" s="2">
        <v>20</v>
      </c>
      <c r="BI106" t="b">
        <v>1</v>
      </c>
      <c r="BJ106">
        <v>3</v>
      </c>
      <c r="BK106">
        <v>0</v>
      </c>
      <c r="BM106" t="b">
        <v>1</v>
      </c>
      <c r="BN106" t="b">
        <v>0</v>
      </c>
      <c r="BO106">
        <v>1</v>
      </c>
      <c r="BP106" s="2">
        <v>-1</v>
      </c>
      <c r="BQ106" t="s">
        <v>189</v>
      </c>
      <c r="BR106">
        <v>244316</v>
      </c>
      <c r="BS106" t="b">
        <v>0</v>
      </c>
      <c r="BT106" t="b">
        <v>1</v>
      </c>
      <c r="BU106">
        <v>300</v>
      </c>
      <c r="BV106" t="s">
        <v>39</v>
      </c>
      <c r="BW106">
        <v>0</v>
      </c>
      <c r="BX106" t="s">
        <v>166</v>
      </c>
      <c r="BY106" t="b">
        <v>0</v>
      </c>
      <c r="BZ106" t="s">
        <v>216</v>
      </c>
      <c r="CA106" t="s">
        <v>213</v>
      </c>
      <c r="CB106" t="b">
        <v>1</v>
      </c>
    </row>
    <row r="107" spans="13:80" x14ac:dyDescent="0.2">
      <c r="M107" t="s">
        <v>40</v>
      </c>
      <c r="N107" s="1">
        <v>44246.604722222219</v>
      </c>
      <c r="O107">
        <v>7862401</v>
      </c>
      <c r="P107">
        <v>29277</v>
      </c>
      <c r="Q107">
        <v>3.7237</v>
      </c>
      <c r="R107">
        <v>15250</v>
      </c>
      <c r="S107">
        <v>1.9396</v>
      </c>
      <c r="T107">
        <v>305</v>
      </c>
      <c r="U107">
        <v>3.8800000000000001E-2</v>
      </c>
      <c r="V107">
        <v>598319</v>
      </c>
      <c r="W107">
        <v>76.098799999999997</v>
      </c>
      <c r="X107">
        <v>612848</v>
      </c>
      <c r="Y107">
        <v>77.946700000000007</v>
      </c>
      <c r="Z107">
        <v>120000</v>
      </c>
      <c r="AA107">
        <v>0</v>
      </c>
      <c r="AB107" s="2">
        <v>9822</v>
      </c>
      <c r="AC107" s="2">
        <v>3495</v>
      </c>
      <c r="AD107" s="2">
        <v>113022</v>
      </c>
      <c r="AE107" s="2">
        <v>10396</v>
      </c>
      <c r="AF107" s="2">
        <v>4103</v>
      </c>
      <c r="AG107" s="2">
        <v>32307</v>
      </c>
      <c r="AH107" s="2">
        <v>12804</v>
      </c>
      <c r="AI107" s="2">
        <v>8380</v>
      </c>
      <c r="AJ107" s="2">
        <v>328699</v>
      </c>
      <c r="AK107">
        <v>0</v>
      </c>
      <c r="AL107" s="2">
        <v>0</v>
      </c>
      <c r="AM107">
        <v>0</v>
      </c>
      <c r="AN107">
        <v>0</v>
      </c>
      <c r="AO107">
        <v>698.11</v>
      </c>
      <c r="AP107">
        <v>14269.23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5</v>
      </c>
      <c r="BC107">
        <v>5</v>
      </c>
      <c r="BD107">
        <v>250</v>
      </c>
      <c r="BE107">
        <v>7920</v>
      </c>
      <c r="BF107">
        <v>60</v>
      </c>
      <c r="BG107">
        <v>20</v>
      </c>
      <c r="BH107" s="2">
        <v>20</v>
      </c>
      <c r="BI107" t="b">
        <v>1</v>
      </c>
      <c r="BJ107">
        <v>3</v>
      </c>
      <c r="BK107">
        <v>0</v>
      </c>
      <c r="BM107" t="b">
        <v>1</v>
      </c>
      <c r="BN107" t="b">
        <v>0</v>
      </c>
      <c r="BO107">
        <v>7</v>
      </c>
      <c r="BP107" s="2">
        <v>450000</v>
      </c>
      <c r="BQ107" t="s">
        <v>189</v>
      </c>
      <c r="BR107">
        <v>244316</v>
      </c>
      <c r="BS107" t="b">
        <v>0</v>
      </c>
      <c r="BT107" t="b">
        <v>0</v>
      </c>
      <c r="BU107">
        <v>300</v>
      </c>
      <c r="BV107" t="s">
        <v>39</v>
      </c>
      <c r="BW107">
        <v>0</v>
      </c>
      <c r="BX107" t="s">
        <v>190</v>
      </c>
      <c r="BY107" t="b">
        <v>0</v>
      </c>
      <c r="CA107" t="s">
        <v>165</v>
      </c>
      <c r="CB107" t="b">
        <v>0</v>
      </c>
    </row>
    <row r="108" spans="13:80" x14ac:dyDescent="0.2">
      <c r="M108" t="s">
        <v>40</v>
      </c>
      <c r="N108" s="1">
        <v>44246.58425925926</v>
      </c>
      <c r="O108">
        <v>9621426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120000</v>
      </c>
      <c r="AA108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>
        <v>0</v>
      </c>
      <c r="AL108" s="2">
        <v>0</v>
      </c>
      <c r="AM108">
        <v>0</v>
      </c>
      <c r="AN108">
        <v>0</v>
      </c>
      <c r="AO108">
        <v>0</v>
      </c>
      <c r="AP108">
        <v>0</v>
      </c>
      <c r="AQ108">
        <v>100</v>
      </c>
      <c r="AR108">
        <v>638</v>
      </c>
      <c r="AS108">
        <v>6.6299999999999998E-2</v>
      </c>
      <c r="AT108">
        <v>140909</v>
      </c>
      <c r="AU108">
        <v>14.645300000000001</v>
      </c>
      <c r="AV108">
        <v>31964</v>
      </c>
      <c r="AW108">
        <v>3.3222</v>
      </c>
      <c r="AX108">
        <v>12189</v>
      </c>
      <c r="AY108">
        <v>3203</v>
      </c>
      <c r="AZ108">
        <v>1098281</v>
      </c>
      <c r="BA108">
        <v>2750.83</v>
      </c>
      <c r="BB108">
        <v>1</v>
      </c>
      <c r="BC108">
        <v>10</v>
      </c>
      <c r="BD108">
        <v>-1</v>
      </c>
      <c r="BE108">
        <v>-1</v>
      </c>
      <c r="BF108">
        <v>60</v>
      </c>
      <c r="BG108">
        <v>20</v>
      </c>
      <c r="BH108" s="2">
        <v>20</v>
      </c>
      <c r="BI108" t="b">
        <v>1</v>
      </c>
      <c r="BJ108">
        <v>3</v>
      </c>
      <c r="BK108">
        <v>0</v>
      </c>
      <c r="BM108" t="b">
        <v>1</v>
      </c>
      <c r="BN108" t="b">
        <v>0</v>
      </c>
      <c r="BO108">
        <v>1</v>
      </c>
      <c r="BP108" s="2">
        <v>-1</v>
      </c>
      <c r="BQ108" t="s">
        <v>189</v>
      </c>
      <c r="BR108">
        <v>244316</v>
      </c>
      <c r="BS108" t="b">
        <v>0</v>
      </c>
      <c r="BT108" t="b">
        <v>1</v>
      </c>
      <c r="BU108">
        <v>300</v>
      </c>
      <c r="BV108" t="s">
        <v>39</v>
      </c>
      <c r="BW108">
        <v>0</v>
      </c>
      <c r="BX108" t="s">
        <v>166</v>
      </c>
      <c r="BY108" t="b">
        <v>0</v>
      </c>
      <c r="BZ108" t="s">
        <v>216</v>
      </c>
      <c r="CA108" t="s">
        <v>213</v>
      </c>
      <c r="CB108" t="b">
        <v>1</v>
      </c>
    </row>
    <row r="109" spans="13:80" x14ac:dyDescent="0.2">
      <c r="M109" t="s">
        <v>40</v>
      </c>
      <c r="N109" s="1">
        <v>44246.604722222219</v>
      </c>
      <c r="O109">
        <v>7862403</v>
      </c>
      <c r="P109">
        <v>29276</v>
      </c>
      <c r="Q109">
        <v>3.7235</v>
      </c>
      <c r="R109">
        <v>15250</v>
      </c>
      <c r="S109">
        <v>1.9396</v>
      </c>
      <c r="T109">
        <v>305</v>
      </c>
      <c r="U109">
        <v>3.8800000000000001E-2</v>
      </c>
      <c r="V109">
        <v>698451</v>
      </c>
      <c r="W109">
        <v>88.834299999999999</v>
      </c>
      <c r="X109">
        <v>715118</v>
      </c>
      <c r="Y109">
        <v>90.954099999999997</v>
      </c>
      <c r="Z109">
        <v>120000</v>
      </c>
      <c r="AA109">
        <v>0</v>
      </c>
      <c r="AB109" s="2">
        <v>10542</v>
      </c>
      <c r="AC109" s="2">
        <v>5079</v>
      </c>
      <c r="AD109" s="2">
        <v>83932</v>
      </c>
      <c r="AE109" s="2">
        <v>12187</v>
      </c>
      <c r="AF109" s="2">
        <v>5777</v>
      </c>
      <c r="AG109" s="2">
        <v>447486</v>
      </c>
      <c r="AH109" s="2">
        <v>10967</v>
      </c>
      <c r="AI109" s="2">
        <v>7271</v>
      </c>
      <c r="AJ109" s="2">
        <v>339462</v>
      </c>
      <c r="AK109">
        <v>0</v>
      </c>
      <c r="AL109" s="2">
        <v>0</v>
      </c>
      <c r="AM109">
        <v>0</v>
      </c>
      <c r="AN109">
        <v>0</v>
      </c>
      <c r="AO109">
        <v>694.53</v>
      </c>
      <c r="AP109">
        <v>16570.02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5</v>
      </c>
      <c r="BC109">
        <v>5</v>
      </c>
      <c r="BD109">
        <v>250</v>
      </c>
      <c r="BE109">
        <v>7920</v>
      </c>
      <c r="BF109">
        <v>60</v>
      </c>
      <c r="BG109">
        <v>20</v>
      </c>
      <c r="BH109" s="2">
        <v>20</v>
      </c>
      <c r="BI109" t="b">
        <v>1</v>
      </c>
      <c r="BJ109">
        <v>3</v>
      </c>
      <c r="BK109">
        <v>0</v>
      </c>
      <c r="BM109" t="b">
        <v>1</v>
      </c>
      <c r="BN109" t="b">
        <v>0</v>
      </c>
      <c r="BO109">
        <v>7</v>
      </c>
      <c r="BP109" s="2">
        <v>450000</v>
      </c>
      <c r="BQ109" t="s">
        <v>189</v>
      </c>
      <c r="BR109">
        <v>244316</v>
      </c>
      <c r="BS109" t="b">
        <v>0</v>
      </c>
      <c r="BT109" t="b">
        <v>0</v>
      </c>
      <c r="BU109">
        <v>300</v>
      </c>
      <c r="BV109" t="s">
        <v>39</v>
      </c>
      <c r="BW109">
        <v>0</v>
      </c>
      <c r="BX109" t="s">
        <v>190</v>
      </c>
      <c r="BY109" t="b">
        <v>0</v>
      </c>
      <c r="CA109" t="s">
        <v>165</v>
      </c>
      <c r="CB109" t="b">
        <v>0</v>
      </c>
    </row>
    <row r="110" spans="13:80" x14ac:dyDescent="0.2">
      <c r="M110" t="s">
        <v>40</v>
      </c>
      <c r="N110" s="1">
        <v>44246.58425925926</v>
      </c>
      <c r="O110">
        <v>9620950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120000</v>
      </c>
      <c r="AA110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>
        <v>0</v>
      </c>
      <c r="AL110" s="2">
        <v>0</v>
      </c>
      <c r="AM110">
        <v>0</v>
      </c>
      <c r="AN110">
        <v>0</v>
      </c>
      <c r="AO110">
        <v>0</v>
      </c>
      <c r="AP110">
        <v>0</v>
      </c>
      <c r="AQ110">
        <v>100</v>
      </c>
      <c r="AR110">
        <v>622</v>
      </c>
      <c r="AS110">
        <v>6.4699999999999994E-2</v>
      </c>
      <c r="AT110">
        <v>143899</v>
      </c>
      <c r="AU110">
        <v>14.956799999999999</v>
      </c>
      <c r="AV110">
        <v>31967</v>
      </c>
      <c r="AW110">
        <v>3.3226</v>
      </c>
      <c r="AX110">
        <v>11848</v>
      </c>
      <c r="AY110">
        <v>4861</v>
      </c>
      <c r="AZ110">
        <v>1003245</v>
      </c>
      <c r="BA110">
        <v>2788.07</v>
      </c>
      <c r="BB110">
        <v>1</v>
      </c>
      <c r="BC110">
        <v>10</v>
      </c>
      <c r="BD110">
        <v>-1</v>
      </c>
      <c r="BE110">
        <v>-1</v>
      </c>
      <c r="BF110">
        <v>60</v>
      </c>
      <c r="BG110">
        <v>20</v>
      </c>
      <c r="BH110" s="2">
        <v>20</v>
      </c>
      <c r="BI110" t="b">
        <v>1</v>
      </c>
      <c r="BJ110">
        <v>3</v>
      </c>
      <c r="BK110">
        <v>0</v>
      </c>
      <c r="BM110" t="b">
        <v>1</v>
      </c>
      <c r="BN110" t="b">
        <v>0</v>
      </c>
      <c r="BO110">
        <v>1</v>
      </c>
      <c r="BP110" s="2">
        <v>-1</v>
      </c>
      <c r="BQ110" t="s">
        <v>189</v>
      </c>
      <c r="BR110">
        <v>244316</v>
      </c>
      <c r="BS110" t="b">
        <v>0</v>
      </c>
      <c r="BT110" t="b">
        <v>1</v>
      </c>
      <c r="BU110">
        <v>300</v>
      </c>
      <c r="BV110" t="s">
        <v>39</v>
      </c>
      <c r="BW110">
        <v>0</v>
      </c>
      <c r="BX110" t="s">
        <v>166</v>
      </c>
      <c r="BY110" t="b">
        <v>0</v>
      </c>
      <c r="BZ110" t="s">
        <v>216</v>
      </c>
      <c r="CA110" t="s">
        <v>213</v>
      </c>
      <c r="CB110" t="b">
        <v>1</v>
      </c>
    </row>
    <row r="111" spans="13:80" x14ac:dyDescent="0.2">
      <c r="M111" t="s">
        <v>40</v>
      </c>
      <c r="N111" s="1">
        <v>44246.604745370372</v>
      </c>
      <c r="O111">
        <v>7862401</v>
      </c>
      <c r="P111">
        <v>29271</v>
      </c>
      <c r="Q111">
        <v>3.7229000000000001</v>
      </c>
      <c r="R111">
        <v>15250</v>
      </c>
      <c r="S111">
        <v>1.9396</v>
      </c>
      <c r="T111">
        <v>305</v>
      </c>
      <c r="U111">
        <v>3.8800000000000001E-2</v>
      </c>
      <c r="V111">
        <v>796798</v>
      </c>
      <c r="W111">
        <v>101.3428</v>
      </c>
      <c r="X111">
        <v>815639</v>
      </c>
      <c r="Y111">
        <v>103.7392</v>
      </c>
      <c r="Z111">
        <v>120000</v>
      </c>
      <c r="AA111">
        <v>0</v>
      </c>
      <c r="AB111" s="2">
        <v>8237</v>
      </c>
      <c r="AC111" s="2">
        <v>5001</v>
      </c>
      <c r="AD111" s="2">
        <v>81742</v>
      </c>
      <c r="AE111" s="2">
        <v>10085</v>
      </c>
      <c r="AF111" s="2">
        <v>6081</v>
      </c>
      <c r="AG111" s="2">
        <v>37022</v>
      </c>
      <c r="AH111" s="2">
        <v>9614</v>
      </c>
      <c r="AI111" s="2">
        <v>6562</v>
      </c>
      <c r="AJ111" s="2">
        <v>1436504</v>
      </c>
      <c r="AK111">
        <v>0</v>
      </c>
      <c r="AL111" s="2">
        <v>0</v>
      </c>
      <c r="AM111">
        <v>0</v>
      </c>
      <c r="AN111">
        <v>0</v>
      </c>
      <c r="AO111">
        <v>698.13</v>
      </c>
      <c r="AP111">
        <v>19001.89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5</v>
      </c>
      <c r="BC111">
        <v>5</v>
      </c>
      <c r="BD111">
        <v>250</v>
      </c>
      <c r="BE111">
        <v>7920</v>
      </c>
      <c r="BF111">
        <v>60</v>
      </c>
      <c r="BG111">
        <v>20</v>
      </c>
      <c r="BH111" s="2">
        <v>20</v>
      </c>
      <c r="BI111" t="b">
        <v>1</v>
      </c>
      <c r="BJ111">
        <v>3</v>
      </c>
      <c r="BK111">
        <v>0</v>
      </c>
      <c r="BM111" t="b">
        <v>1</v>
      </c>
      <c r="BN111" t="b">
        <v>0</v>
      </c>
      <c r="BO111">
        <v>7</v>
      </c>
      <c r="BP111" s="2">
        <v>450000</v>
      </c>
      <c r="BQ111" t="s">
        <v>189</v>
      </c>
      <c r="BR111">
        <v>244316</v>
      </c>
      <c r="BS111" t="b">
        <v>0</v>
      </c>
      <c r="BT111" t="b">
        <v>0</v>
      </c>
      <c r="BU111">
        <v>300</v>
      </c>
      <c r="BV111" t="s">
        <v>39</v>
      </c>
      <c r="BW111">
        <v>0</v>
      </c>
      <c r="BX111" t="s">
        <v>190</v>
      </c>
      <c r="BY111" t="b">
        <v>0</v>
      </c>
      <c r="CA111" t="s">
        <v>165</v>
      </c>
      <c r="CB111" t="b">
        <v>0</v>
      </c>
    </row>
    <row r="112" spans="13:80" x14ac:dyDescent="0.2">
      <c r="M112" t="s">
        <v>40</v>
      </c>
      <c r="N112" s="1">
        <v>44246.584282407406</v>
      </c>
      <c r="O112">
        <v>9618685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120000</v>
      </c>
      <c r="AA11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>
        <v>0</v>
      </c>
      <c r="AL112" s="2">
        <v>0</v>
      </c>
      <c r="AM112">
        <v>0</v>
      </c>
      <c r="AN112">
        <v>0</v>
      </c>
      <c r="AO112">
        <v>0</v>
      </c>
      <c r="AP112">
        <v>0</v>
      </c>
      <c r="AQ112">
        <v>100</v>
      </c>
      <c r="AR112">
        <v>617</v>
      </c>
      <c r="AS112">
        <v>6.4100000000000004E-2</v>
      </c>
      <c r="AT112">
        <v>143011</v>
      </c>
      <c r="AU112">
        <v>14.868</v>
      </c>
      <c r="AV112">
        <v>31962</v>
      </c>
      <c r="AW112">
        <v>3.3229000000000002</v>
      </c>
      <c r="AX112">
        <v>11332</v>
      </c>
      <c r="AY112">
        <v>4900</v>
      </c>
      <c r="AZ112">
        <v>768829</v>
      </c>
      <c r="BA112">
        <v>2786.94</v>
      </c>
      <c r="BB112">
        <v>1</v>
      </c>
      <c r="BC112">
        <v>10</v>
      </c>
      <c r="BD112">
        <v>-1</v>
      </c>
      <c r="BE112">
        <v>-1</v>
      </c>
      <c r="BF112">
        <v>60</v>
      </c>
      <c r="BG112">
        <v>20</v>
      </c>
      <c r="BH112" s="2">
        <v>20</v>
      </c>
      <c r="BI112" t="b">
        <v>1</v>
      </c>
      <c r="BJ112">
        <v>3</v>
      </c>
      <c r="BK112">
        <v>0</v>
      </c>
      <c r="BM112" t="b">
        <v>1</v>
      </c>
      <c r="BN112" t="b">
        <v>0</v>
      </c>
      <c r="BO112">
        <v>1</v>
      </c>
      <c r="BP112" s="2">
        <v>-1</v>
      </c>
      <c r="BQ112" t="s">
        <v>189</v>
      </c>
      <c r="BR112">
        <v>244316</v>
      </c>
      <c r="BS112" t="b">
        <v>0</v>
      </c>
      <c r="BT112" t="b">
        <v>1</v>
      </c>
      <c r="BU112">
        <v>300</v>
      </c>
      <c r="BV112" t="s">
        <v>39</v>
      </c>
      <c r="BW112">
        <v>0</v>
      </c>
      <c r="BX112" t="s">
        <v>166</v>
      </c>
      <c r="BY112" t="b">
        <v>0</v>
      </c>
      <c r="BZ112" t="s">
        <v>216</v>
      </c>
      <c r="CA112" t="s">
        <v>213</v>
      </c>
      <c r="CB112" t="b">
        <v>1</v>
      </c>
    </row>
    <row r="113" spans="13:80" x14ac:dyDescent="0.2">
      <c r="M113" t="s">
        <v>40</v>
      </c>
      <c r="N113" s="1">
        <v>44246.604722222219</v>
      </c>
      <c r="O113">
        <v>7862402</v>
      </c>
      <c r="P113">
        <v>29276</v>
      </c>
      <c r="Q113">
        <v>3.7235</v>
      </c>
      <c r="R113">
        <v>15250</v>
      </c>
      <c r="S113">
        <v>1.9396</v>
      </c>
      <c r="T113">
        <v>305</v>
      </c>
      <c r="U113">
        <v>3.8800000000000001E-2</v>
      </c>
      <c r="V113">
        <v>799943</v>
      </c>
      <c r="W113">
        <v>101.7428</v>
      </c>
      <c r="X113">
        <v>819214</v>
      </c>
      <c r="Y113">
        <v>104.1939</v>
      </c>
      <c r="Z113">
        <v>120000</v>
      </c>
      <c r="AA113">
        <v>0</v>
      </c>
      <c r="AB113" s="2">
        <v>10809</v>
      </c>
      <c r="AC113" s="2">
        <v>5493</v>
      </c>
      <c r="AD113" s="2">
        <v>1374135</v>
      </c>
      <c r="AE113" s="2">
        <v>10628</v>
      </c>
      <c r="AF113" s="2">
        <v>5994</v>
      </c>
      <c r="AG113" s="2">
        <v>73405</v>
      </c>
      <c r="AH113" s="2">
        <v>9574</v>
      </c>
      <c r="AI113" s="2">
        <v>5257</v>
      </c>
      <c r="AJ113" s="2">
        <v>1435936</v>
      </c>
      <c r="AK113">
        <v>0</v>
      </c>
      <c r="AL113" s="2">
        <v>0</v>
      </c>
      <c r="AM113">
        <v>0</v>
      </c>
      <c r="AN113">
        <v>0</v>
      </c>
      <c r="AO113">
        <v>701.75</v>
      </c>
      <c r="AP113">
        <v>19174.759999999998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5</v>
      </c>
      <c r="BC113">
        <v>5</v>
      </c>
      <c r="BD113">
        <v>250</v>
      </c>
      <c r="BE113">
        <v>7920</v>
      </c>
      <c r="BF113">
        <v>60</v>
      </c>
      <c r="BG113">
        <v>20</v>
      </c>
      <c r="BH113" s="2">
        <v>20</v>
      </c>
      <c r="BI113" t="b">
        <v>1</v>
      </c>
      <c r="BJ113">
        <v>3</v>
      </c>
      <c r="BK113">
        <v>0</v>
      </c>
      <c r="BM113" t="b">
        <v>1</v>
      </c>
      <c r="BN113" t="b">
        <v>0</v>
      </c>
      <c r="BO113">
        <v>7</v>
      </c>
      <c r="BP113" s="2">
        <v>450000</v>
      </c>
      <c r="BQ113" t="s">
        <v>189</v>
      </c>
      <c r="BR113">
        <v>244316</v>
      </c>
      <c r="BS113" t="b">
        <v>0</v>
      </c>
      <c r="BT113" t="b">
        <v>0</v>
      </c>
      <c r="BU113">
        <v>300</v>
      </c>
      <c r="BV113" t="s">
        <v>39</v>
      </c>
      <c r="BW113">
        <v>0</v>
      </c>
      <c r="BX113" t="s">
        <v>190</v>
      </c>
      <c r="BY113" t="b">
        <v>0</v>
      </c>
      <c r="CA113" t="s">
        <v>165</v>
      </c>
      <c r="CB113" t="b">
        <v>0</v>
      </c>
    </row>
    <row r="114" spans="13:80" x14ac:dyDescent="0.2">
      <c r="M114" t="s">
        <v>40</v>
      </c>
      <c r="N114" s="1">
        <v>44246.58425925926</v>
      </c>
      <c r="O114">
        <v>9621224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120000</v>
      </c>
      <c r="AA114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>
        <v>0</v>
      </c>
      <c r="AL114" s="2">
        <v>0</v>
      </c>
      <c r="AM114">
        <v>0</v>
      </c>
      <c r="AN114">
        <v>0</v>
      </c>
      <c r="AO114">
        <v>0</v>
      </c>
      <c r="AP114">
        <v>0</v>
      </c>
      <c r="AQ114">
        <v>100</v>
      </c>
      <c r="AR114">
        <v>627</v>
      </c>
      <c r="AS114">
        <v>6.5199999999999994E-2</v>
      </c>
      <c r="AT114">
        <v>142187</v>
      </c>
      <c r="AU114">
        <v>14.778499999999999</v>
      </c>
      <c r="AV114">
        <v>31967</v>
      </c>
      <c r="AW114">
        <v>3.3224999999999998</v>
      </c>
      <c r="AX114">
        <v>11906</v>
      </c>
      <c r="AY114">
        <v>4732</v>
      </c>
      <c r="AZ114">
        <v>1057760</v>
      </c>
      <c r="BA114">
        <v>2785.47</v>
      </c>
      <c r="BB114">
        <v>1</v>
      </c>
      <c r="BC114">
        <v>10</v>
      </c>
      <c r="BD114">
        <v>-1</v>
      </c>
      <c r="BE114">
        <v>-1</v>
      </c>
      <c r="BF114">
        <v>60</v>
      </c>
      <c r="BG114">
        <v>20</v>
      </c>
      <c r="BH114" s="2">
        <v>20</v>
      </c>
      <c r="BI114" t="b">
        <v>1</v>
      </c>
      <c r="BJ114">
        <v>3</v>
      </c>
      <c r="BK114">
        <v>0</v>
      </c>
      <c r="BM114" t="b">
        <v>1</v>
      </c>
      <c r="BN114" t="b">
        <v>0</v>
      </c>
      <c r="BO114">
        <v>1</v>
      </c>
      <c r="BP114" s="2">
        <v>-1</v>
      </c>
      <c r="BQ114" t="s">
        <v>189</v>
      </c>
      <c r="BR114">
        <v>244316</v>
      </c>
      <c r="BS114" t="b">
        <v>0</v>
      </c>
      <c r="BT114" t="b">
        <v>1</v>
      </c>
      <c r="BU114">
        <v>300</v>
      </c>
      <c r="BV114" t="s">
        <v>39</v>
      </c>
      <c r="BW114">
        <v>0</v>
      </c>
      <c r="BX114" t="s">
        <v>166</v>
      </c>
      <c r="BY114" t="b">
        <v>0</v>
      </c>
      <c r="BZ114" t="s">
        <v>216</v>
      </c>
      <c r="CA114" t="s">
        <v>213</v>
      </c>
      <c r="CB114" t="b">
        <v>1</v>
      </c>
    </row>
    <row r="115" spans="13:80" x14ac:dyDescent="0.2">
      <c r="M115" t="s">
        <v>40</v>
      </c>
      <c r="N115" s="1">
        <v>44246.604722222219</v>
      </c>
      <c r="O115">
        <v>7862403</v>
      </c>
      <c r="P115">
        <v>29277</v>
      </c>
      <c r="Q115">
        <v>3.7237</v>
      </c>
      <c r="R115">
        <v>15250</v>
      </c>
      <c r="S115">
        <v>1.9396</v>
      </c>
      <c r="T115">
        <v>305</v>
      </c>
      <c r="U115">
        <v>3.8800000000000001E-2</v>
      </c>
      <c r="V115">
        <v>700246</v>
      </c>
      <c r="W115">
        <v>89.062600000000003</v>
      </c>
      <c r="X115">
        <v>716916</v>
      </c>
      <c r="Y115">
        <v>91.1828</v>
      </c>
      <c r="Z115">
        <v>120000</v>
      </c>
      <c r="AA115">
        <v>0</v>
      </c>
      <c r="AB115" s="2">
        <v>13309</v>
      </c>
      <c r="AC115" s="2">
        <v>5580</v>
      </c>
      <c r="AD115" s="2">
        <v>1145457</v>
      </c>
      <c r="AE115" s="2">
        <v>10773</v>
      </c>
      <c r="AF115" s="2">
        <v>5538</v>
      </c>
      <c r="AG115" s="2">
        <v>63025</v>
      </c>
      <c r="AH115" s="2">
        <v>10942</v>
      </c>
      <c r="AI115" s="2">
        <v>7207</v>
      </c>
      <c r="AJ115" s="2">
        <v>322365</v>
      </c>
      <c r="AK115">
        <v>0</v>
      </c>
      <c r="AL115" s="2">
        <v>0</v>
      </c>
      <c r="AM115">
        <v>0</v>
      </c>
      <c r="AN115">
        <v>0</v>
      </c>
      <c r="AO115">
        <v>698.27</v>
      </c>
      <c r="AP115">
        <v>16699.740000000002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</v>
      </c>
      <c r="BC115">
        <v>5</v>
      </c>
      <c r="BD115">
        <v>250</v>
      </c>
      <c r="BE115">
        <v>7920</v>
      </c>
      <c r="BF115">
        <v>60</v>
      </c>
      <c r="BG115">
        <v>20</v>
      </c>
      <c r="BH115" s="2">
        <v>20</v>
      </c>
      <c r="BI115" t="b">
        <v>1</v>
      </c>
      <c r="BJ115">
        <v>3</v>
      </c>
      <c r="BK115">
        <v>0</v>
      </c>
      <c r="BM115" t="b">
        <v>1</v>
      </c>
      <c r="BN115" t="b">
        <v>0</v>
      </c>
      <c r="BO115">
        <v>7</v>
      </c>
      <c r="BP115" s="2">
        <v>450000</v>
      </c>
      <c r="BQ115" t="s">
        <v>189</v>
      </c>
      <c r="BR115">
        <v>244316</v>
      </c>
      <c r="BS115" t="b">
        <v>0</v>
      </c>
      <c r="BT115" t="b">
        <v>0</v>
      </c>
      <c r="BU115">
        <v>300</v>
      </c>
      <c r="BV115" t="s">
        <v>39</v>
      </c>
      <c r="BW115">
        <v>0</v>
      </c>
      <c r="BX115" t="s">
        <v>190</v>
      </c>
      <c r="BY115" t="b">
        <v>0</v>
      </c>
      <c r="CA115" t="s">
        <v>165</v>
      </c>
      <c r="CB115" t="b">
        <v>0</v>
      </c>
    </row>
    <row r="116" spans="13:80" x14ac:dyDescent="0.2">
      <c r="M116" t="s">
        <v>40</v>
      </c>
      <c r="N116" s="1">
        <v>44246.58425925926</v>
      </c>
      <c r="O116">
        <v>9621453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120000</v>
      </c>
      <c r="AA116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>
        <v>0</v>
      </c>
      <c r="AL116" s="2">
        <v>0</v>
      </c>
      <c r="AM116">
        <v>0</v>
      </c>
      <c r="AN116">
        <v>0</v>
      </c>
      <c r="AO116">
        <v>0</v>
      </c>
      <c r="AP116">
        <v>0</v>
      </c>
      <c r="AQ116">
        <v>100</v>
      </c>
      <c r="AR116">
        <v>616</v>
      </c>
      <c r="AS116">
        <v>6.4000000000000001E-2</v>
      </c>
      <c r="AT116">
        <v>144529</v>
      </c>
      <c r="AU116">
        <v>15.0215</v>
      </c>
      <c r="AV116">
        <v>31968</v>
      </c>
      <c r="AW116">
        <v>3.3226</v>
      </c>
      <c r="AX116">
        <v>11910</v>
      </c>
      <c r="AY116">
        <v>4674</v>
      </c>
      <c r="AZ116">
        <v>924254</v>
      </c>
      <c r="BA116">
        <v>2805.9</v>
      </c>
      <c r="BB116">
        <v>1</v>
      </c>
      <c r="BC116">
        <v>10</v>
      </c>
      <c r="BD116">
        <v>-1</v>
      </c>
      <c r="BE116">
        <v>-1</v>
      </c>
      <c r="BF116">
        <v>60</v>
      </c>
      <c r="BG116">
        <v>20</v>
      </c>
      <c r="BH116" s="2">
        <v>20</v>
      </c>
      <c r="BI116" t="b">
        <v>1</v>
      </c>
      <c r="BJ116">
        <v>3</v>
      </c>
      <c r="BK116">
        <v>0</v>
      </c>
      <c r="BM116" t="b">
        <v>1</v>
      </c>
      <c r="BN116" t="b">
        <v>0</v>
      </c>
      <c r="BO116">
        <v>1</v>
      </c>
      <c r="BP116" s="2">
        <v>-1</v>
      </c>
      <c r="BQ116" t="s">
        <v>189</v>
      </c>
      <c r="BR116">
        <v>244316</v>
      </c>
      <c r="BS116" t="b">
        <v>0</v>
      </c>
      <c r="BT116" t="b">
        <v>1</v>
      </c>
      <c r="BU116">
        <v>300</v>
      </c>
      <c r="BV116" t="s">
        <v>39</v>
      </c>
      <c r="BW116">
        <v>0</v>
      </c>
      <c r="BX116" t="s">
        <v>166</v>
      </c>
      <c r="BY116" t="b">
        <v>0</v>
      </c>
      <c r="BZ116" t="s">
        <v>216</v>
      </c>
      <c r="CA116" t="s">
        <v>213</v>
      </c>
      <c r="CB116" t="b">
        <v>1</v>
      </c>
    </row>
    <row r="117" spans="13:80" x14ac:dyDescent="0.2">
      <c r="M117" t="s">
        <v>40</v>
      </c>
      <c r="N117" s="1">
        <v>44246.604722222219</v>
      </c>
      <c r="O117">
        <v>7862401</v>
      </c>
      <c r="P117">
        <v>29276</v>
      </c>
      <c r="Q117">
        <v>3.7235</v>
      </c>
      <c r="R117">
        <v>15250</v>
      </c>
      <c r="S117">
        <v>1.9396</v>
      </c>
      <c r="T117">
        <v>305</v>
      </c>
      <c r="U117">
        <v>3.8800000000000001E-2</v>
      </c>
      <c r="V117">
        <v>821059</v>
      </c>
      <c r="W117">
        <v>104.4285</v>
      </c>
      <c r="X117">
        <v>840804</v>
      </c>
      <c r="Y117">
        <v>106.93980000000001</v>
      </c>
      <c r="Z117">
        <v>120000</v>
      </c>
      <c r="AA117">
        <v>0</v>
      </c>
      <c r="AB117" s="2">
        <v>9961</v>
      </c>
      <c r="AC117" s="2">
        <v>5166</v>
      </c>
      <c r="AD117" s="2">
        <v>1049224</v>
      </c>
      <c r="AE117" s="2">
        <v>10277</v>
      </c>
      <c r="AF117" s="2">
        <v>5968</v>
      </c>
      <c r="AG117" s="2">
        <v>43381</v>
      </c>
      <c r="AH117" s="2">
        <v>9326</v>
      </c>
      <c r="AI117" s="2">
        <v>6614</v>
      </c>
      <c r="AJ117" s="2">
        <v>117027</v>
      </c>
      <c r="AK117">
        <v>0</v>
      </c>
      <c r="AL117" s="2">
        <v>0</v>
      </c>
      <c r="AM117">
        <v>0</v>
      </c>
      <c r="AN117">
        <v>0</v>
      </c>
      <c r="AO117">
        <v>697.88</v>
      </c>
      <c r="AP117">
        <v>19583.419999999998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5</v>
      </c>
      <c r="BC117">
        <v>5</v>
      </c>
      <c r="BD117">
        <v>250</v>
      </c>
      <c r="BE117">
        <v>7920</v>
      </c>
      <c r="BF117">
        <v>60</v>
      </c>
      <c r="BG117">
        <v>20</v>
      </c>
      <c r="BH117" s="2">
        <v>20</v>
      </c>
      <c r="BI117" t="b">
        <v>1</v>
      </c>
      <c r="BJ117">
        <v>3</v>
      </c>
      <c r="BK117">
        <v>0</v>
      </c>
      <c r="BM117" t="b">
        <v>1</v>
      </c>
      <c r="BN117" t="b">
        <v>0</v>
      </c>
      <c r="BO117">
        <v>7</v>
      </c>
      <c r="BP117" s="2">
        <v>450000</v>
      </c>
      <c r="BQ117" t="s">
        <v>189</v>
      </c>
      <c r="BR117">
        <v>244316</v>
      </c>
      <c r="BS117" t="b">
        <v>0</v>
      </c>
      <c r="BT117" t="b">
        <v>0</v>
      </c>
      <c r="BU117">
        <v>300</v>
      </c>
      <c r="BV117" t="s">
        <v>39</v>
      </c>
      <c r="BW117">
        <v>0</v>
      </c>
      <c r="BX117" t="s">
        <v>190</v>
      </c>
      <c r="BY117" t="b">
        <v>0</v>
      </c>
      <c r="CA117" t="s">
        <v>165</v>
      </c>
      <c r="CB117" t="b">
        <v>0</v>
      </c>
    </row>
    <row r="118" spans="13:80" x14ac:dyDescent="0.2">
      <c r="M118" t="s">
        <v>40</v>
      </c>
      <c r="N118" s="1">
        <v>44246.58425925926</v>
      </c>
      <c r="O118">
        <v>9620908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120000</v>
      </c>
      <c r="AA118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>
        <v>0</v>
      </c>
      <c r="AL118" s="2">
        <v>0</v>
      </c>
      <c r="AM118">
        <v>0</v>
      </c>
      <c r="AN118">
        <v>0</v>
      </c>
      <c r="AO118">
        <v>0</v>
      </c>
      <c r="AP118">
        <v>0</v>
      </c>
      <c r="AQ118">
        <v>100</v>
      </c>
      <c r="AR118">
        <v>615</v>
      </c>
      <c r="AS118">
        <v>6.3899999999999998E-2</v>
      </c>
      <c r="AT118">
        <v>143075</v>
      </c>
      <c r="AU118">
        <v>14.8713</v>
      </c>
      <c r="AV118">
        <v>31974</v>
      </c>
      <c r="AW118">
        <v>3.3233999999999999</v>
      </c>
      <c r="AX118">
        <v>12029</v>
      </c>
      <c r="AY118">
        <v>4801</v>
      </c>
      <c r="AZ118">
        <v>1316447</v>
      </c>
      <c r="BA118">
        <v>2787.8</v>
      </c>
      <c r="BB118">
        <v>1</v>
      </c>
      <c r="BC118">
        <v>10</v>
      </c>
      <c r="BD118">
        <v>-1</v>
      </c>
      <c r="BE118">
        <v>-1</v>
      </c>
      <c r="BF118">
        <v>60</v>
      </c>
      <c r="BG118">
        <v>20</v>
      </c>
      <c r="BH118" s="2">
        <v>20</v>
      </c>
      <c r="BI118" t="b">
        <v>1</v>
      </c>
      <c r="BJ118">
        <v>3</v>
      </c>
      <c r="BK118">
        <v>0</v>
      </c>
      <c r="BM118" t="b">
        <v>1</v>
      </c>
      <c r="BN118" t="b">
        <v>0</v>
      </c>
      <c r="BO118">
        <v>1</v>
      </c>
      <c r="BP118" s="2">
        <v>-1</v>
      </c>
      <c r="BQ118" t="s">
        <v>189</v>
      </c>
      <c r="BR118">
        <v>244316</v>
      </c>
      <c r="BS118" t="b">
        <v>0</v>
      </c>
      <c r="BT118" t="b">
        <v>1</v>
      </c>
      <c r="BU118">
        <v>300</v>
      </c>
      <c r="BV118" t="s">
        <v>39</v>
      </c>
      <c r="BW118">
        <v>0</v>
      </c>
      <c r="BX118" t="s">
        <v>166</v>
      </c>
      <c r="BY118" t="b">
        <v>0</v>
      </c>
      <c r="BZ118" t="s">
        <v>216</v>
      </c>
      <c r="CA118" t="s">
        <v>213</v>
      </c>
      <c r="CB118" t="b">
        <v>1</v>
      </c>
    </row>
    <row r="119" spans="13:80" x14ac:dyDescent="0.2">
      <c r="M119" t="s">
        <v>40</v>
      </c>
      <c r="N119" s="1">
        <v>44246.604722222219</v>
      </c>
      <c r="O119">
        <v>7862401</v>
      </c>
      <c r="P119">
        <v>29277</v>
      </c>
      <c r="Q119">
        <v>3.7237</v>
      </c>
      <c r="R119">
        <v>15250</v>
      </c>
      <c r="S119">
        <v>1.9396</v>
      </c>
      <c r="T119">
        <v>305</v>
      </c>
      <c r="U119">
        <v>3.8800000000000001E-2</v>
      </c>
      <c r="V119">
        <v>800678</v>
      </c>
      <c r="W119">
        <v>101.83629999999999</v>
      </c>
      <c r="X119">
        <v>819695</v>
      </c>
      <c r="Y119">
        <v>104.255</v>
      </c>
      <c r="Z119">
        <v>120000</v>
      </c>
      <c r="AA119">
        <v>0</v>
      </c>
      <c r="AB119" s="2">
        <v>10648</v>
      </c>
      <c r="AC119" s="2">
        <v>5120</v>
      </c>
      <c r="AD119" s="2">
        <v>88575</v>
      </c>
      <c r="AE119" s="2">
        <v>10713</v>
      </c>
      <c r="AF119" s="2">
        <v>5374</v>
      </c>
      <c r="AG119" s="2">
        <v>463195</v>
      </c>
      <c r="AH119" s="2">
        <v>9569</v>
      </c>
      <c r="AI119" s="2">
        <v>5041</v>
      </c>
      <c r="AJ119" s="2">
        <v>1339585</v>
      </c>
      <c r="AK119">
        <v>0</v>
      </c>
      <c r="AL119" s="2">
        <v>0</v>
      </c>
      <c r="AM119">
        <v>0</v>
      </c>
      <c r="AN119">
        <v>0</v>
      </c>
      <c r="AO119">
        <v>698.15</v>
      </c>
      <c r="AP119">
        <v>19095.36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5</v>
      </c>
      <c r="BC119">
        <v>5</v>
      </c>
      <c r="BD119">
        <v>250</v>
      </c>
      <c r="BE119">
        <v>7920</v>
      </c>
      <c r="BF119">
        <v>60</v>
      </c>
      <c r="BG119">
        <v>20</v>
      </c>
      <c r="BH119" s="2">
        <v>20</v>
      </c>
      <c r="BI119" t="b">
        <v>1</v>
      </c>
      <c r="BJ119">
        <v>3</v>
      </c>
      <c r="BK119">
        <v>0</v>
      </c>
      <c r="BM119" t="b">
        <v>1</v>
      </c>
      <c r="BN119" t="b">
        <v>0</v>
      </c>
      <c r="BO119">
        <v>7</v>
      </c>
      <c r="BP119" s="2">
        <v>450000</v>
      </c>
      <c r="BQ119" t="s">
        <v>189</v>
      </c>
      <c r="BR119">
        <v>244316</v>
      </c>
      <c r="BS119" t="b">
        <v>0</v>
      </c>
      <c r="BT119" t="b">
        <v>0</v>
      </c>
      <c r="BU119">
        <v>300</v>
      </c>
      <c r="BV119" t="s">
        <v>39</v>
      </c>
      <c r="BW119">
        <v>0</v>
      </c>
      <c r="BX119" t="s">
        <v>190</v>
      </c>
      <c r="BY119" t="b">
        <v>0</v>
      </c>
      <c r="CA119" t="s">
        <v>165</v>
      </c>
      <c r="CB119" t="b">
        <v>0</v>
      </c>
    </row>
    <row r="120" spans="13:80" x14ac:dyDescent="0.2">
      <c r="M120" t="s">
        <v>40</v>
      </c>
      <c r="N120" s="1">
        <v>44246.58425925926</v>
      </c>
      <c r="O120">
        <v>9621351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120000</v>
      </c>
      <c r="AA120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>
        <v>0</v>
      </c>
      <c r="AL120" s="2">
        <v>0</v>
      </c>
      <c r="AM120">
        <v>0</v>
      </c>
      <c r="AN120">
        <v>0</v>
      </c>
      <c r="AO120">
        <v>0</v>
      </c>
      <c r="AP120">
        <v>0</v>
      </c>
      <c r="AQ120">
        <v>100</v>
      </c>
      <c r="AR120">
        <v>632</v>
      </c>
      <c r="AS120">
        <v>6.5699999999999995E-2</v>
      </c>
      <c r="AT120">
        <v>142263</v>
      </c>
      <c r="AU120">
        <v>14.786199999999999</v>
      </c>
      <c r="AV120">
        <v>31975</v>
      </c>
      <c r="AW120">
        <v>3.3233000000000001</v>
      </c>
      <c r="AX120">
        <v>11079</v>
      </c>
      <c r="AY120">
        <v>4719</v>
      </c>
      <c r="AZ120">
        <v>703797</v>
      </c>
      <c r="BA120">
        <v>2771.76</v>
      </c>
      <c r="BB120">
        <v>1</v>
      </c>
      <c r="BC120">
        <v>10</v>
      </c>
      <c r="BD120">
        <v>-1</v>
      </c>
      <c r="BE120">
        <v>-1</v>
      </c>
      <c r="BF120">
        <v>60</v>
      </c>
      <c r="BG120">
        <v>20</v>
      </c>
      <c r="BH120" s="2">
        <v>20</v>
      </c>
      <c r="BI120" t="b">
        <v>1</v>
      </c>
      <c r="BJ120">
        <v>3</v>
      </c>
      <c r="BK120">
        <v>0</v>
      </c>
      <c r="BM120" t="b">
        <v>1</v>
      </c>
      <c r="BN120" t="b">
        <v>0</v>
      </c>
      <c r="BO120">
        <v>1</v>
      </c>
      <c r="BP120" s="2">
        <v>-1</v>
      </c>
      <c r="BQ120" t="s">
        <v>189</v>
      </c>
      <c r="BR120">
        <v>244316</v>
      </c>
      <c r="BS120" t="b">
        <v>0</v>
      </c>
      <c r="BT120" t="b">
        <v>1</v>
      </c>
      <c r="BU120">
        <v>300</v>
      </c>
      <c r="BV120" t="s">
        <v>39</v>
      </c>
      <c r="BW120">
        <v>0</v>
      </c>
      <c r="BX120" t="s">
        <v>166</v>
      </c>
      <c r="BY120" t="b">
        <v>0</v>
      </c>
      <c r="BZ120" t="s">
        <v>216</v>
      </c>
      <c r="CA120" t="s">
        <v>213</v>
      </c>
      <c r="CB120" t="b">
        <v>1</v>
      </c>
    </row>
    <row r="121" spans="13:80" x14ac:dyDescent="0.2">
      <c r="M121" t="s">
        <v>40</v>
      </c>
      <c r="N121" s="1">
        <v>44246.604722222219</v>
      </c>
      <c r="O121">
        <v>7862402</v>
      </c>
      <c r="P121">
        <v>29277</v>
      </c>
      <c r="Q121">
        <v>3.7237</v>
      </c>
      <c r="R121">
        <v>15250</v>
      </c>
      <c r="S121">
        <v>1.9396</v>
      </c>
      <c r="T121">
        <v>305</v>
      </c>
      <c r="U121">
        <v>3.8800000000000001E-2</v>
      </c>
      <c r="V121">
        <v>560970</v>
      </c>
      <c r="W121">
        <v>71.348399999999998</v>
      </c>
      <c r="X121">
        <v>574448</v>
      </c>
      <c r="Y121">
        <v>73.062700000000007</v>
      </c>
      <c r="Z121">
        <v>120000</v>
      </c>
      <c r="AA121">
        <v>0</v>
      </c>
      <c r="AB121" s="2">
        <v>12867</v>
      </c>
      <c r="AC121" s="2">
        <v>3757</v>
      </c>
      <c r="AD121" s="2">
        <v>1087676</v>
      </c>
      <c r="AE121" s="2">
        <v>12280</v>
      </c>
      <c r="AF121" s="2">
        <v>4055</v>
      </c>
      <c r="AG121" s="2">
        <v>407516</v>
      </c>
      <c r="AH121" s="2">
        <v>13660</v>
      </c>
      <c r="AI121" s="2">
        <v>8663</v>
      </c>
      <c r="AJ121" s="2">
        <v>346046</v>
      </c>
      <c r="AK121">
        <v>0</v>
      </c>
      <c r="AL121" s="2">
        <v>0</v>
      </c>
      <c r="AM121">
        <v>0</v>
      </c>
      <c r="AN121">
        <v>0</v>
      </c>
      <c r="AO121">
        <v>694.57</v>
      </c>
      <c r="AP121">
        <v>13308.45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5</v>
      </c>
      <c r="BC121">
        <v>5</v>
      </c>
      <c r="BD121">
        <v>250</v>
      </c>
      <c r="BE121">
        <v>7920</v>
      </c>
      <c r="BF121">
        <v>60</v>
      </c>
      <c r="BG121">
        <v>20</v>
      </c>
      <c r="BH121" s="2">
        <v>20</v>
      </c>
      <c r="BI121" t="b">
        <v>1</v>
      </c>
      <c r="BJ121">
        <v>3</v>
      </c>
      <c r="BK121">
        <v>0</v>
      </c>
      <c r="BM121" t="b">
        <v>1</v>
      </c>
      <c r="BN121" t="b">
        <v>0</v>
      </c>
      <c r="BO121">
        <v>7</v>
      </c>
      <c r="BP121" s="2">
        <v>450000</v>
      </c>
      <c r="BQ121" t="s">
        <v>189</v>
      </c>
      <c r="BR121">
        <v>244316</v>
      </c>
      <c r="BS121" t="b">
        <v>0</v>
      </c>
      <c r="BT121" t="b">
        <v>0</v>
      </c>
      <c r="BU121">
        <v>300</v>
      </c>
      <c r="BV121" t="s">
        <v>39</v>
      </c>
      <c r="BW121">
        <v>0</v>
      </c>
      <c r="BX121" t="s">
        <v>190</v>
      </c>
      <c r="BY121" t="b">
        <v>0</v>
      </c>
      <c r="CA121" t="s">
        <v>165</v>
      </c>
      <c r="CB121" t="b">
        <v>0</v>
      </c>
    </row>
    <row r="122" spans="13:80" x14ac:dyDescent="0.2">
      <c r="M122" t="s">
        <v>40</v>
      </c>
      <c r="N122" s="1">
        <v>44246.58425925926</v>
      </c>
      <c r="O122">
        <v>9621182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120000</v>
      </c>
      <c r="AA12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>
        <v>0</v>
      </c>
      <c r="AL122" s="2">
        <v>0</v>
      </c>
      <c r="AM122">
        <v>0</v>
      </c>
      <c r="AN122">
        <v>0</v>
      </c>
      <c r="AO122">
        <v>0</v>
      </c>
      <c r="AP122">
        <v>0</v>
      </c>
      <c r="AQ122">
        <v>100</v>
      </c>
      <c r="AR122">
        <v>636</v>
      </c>
      <c r="AS122">
        <v>6.6100000000000006E-2</v>
      </c>
      <c r="AT122">
        <v>142420</v>
      </c>
      <c r="AU122">
        <v>14.8028</v>
      </c>
      <c r="AV122">
        <v>31972</v>
      </c>
      <c r="AW122">
        <v>3.3231000000000002</v>
      </c>
      <c r="AX122">
        <v>10537</v>
      </c>
      <c r="AY122">
        <v>3053</v>
      </c>
      <c r="AZ122">
        <v>909255</v>
      </c>
      <c r="BA122">
        <v>2759.37</v>
      </c>
      <c r="BB122">
        <v>1</v>
      </c>
      <c r="BC122">
        <v>10</v>
      </c>
      <c r="BD122">
        <v>-1</v>
      </c>
      <c r="BE122">
        <v>-1</v>
      </c>
      <c r="BF122">
        <v>60</v>
      </c>
      <c r="BG122">
        <v>20</v>
      </c>
      <c r="BH122" s="2">
        <v>20</v>
      </c>
      <c r="BI122" t="b">
        <v>1</v>
      </c>
      <c r="BJ122">
        <v>3</v>
      </c>
      <c r="BK122">
        <v>0</v>
      </c>
      <c r="BM122" t="b">
        <v>1</v>
      </c>
      <c r="BN122" t="b">
        <v>0</v>
      </c>
      <c r="BO122">
        <v>1</v>
      </c>
      <c r="BP122" s="2">
        <v>-1</v>
      </c>
      <c r="BQ122" t="s">
        <v>189</v>
      </c>
      <c r="BR122">
        <v>244316</v>
      </c>
      <c r="BS122" t="b">
        <v>0</v>
      </c>
      <c r="BT122" t="b">
        <v>1</v>
      </c>
      <c r="BU122">
        <v>300</v>
      </c>
      <c r="BV122" t="s">
        <v>39</v>
      </c>
      <c r="BW122">
        <v>0</v>
      </c>
      <c r="BX122" t="s">
        <v>166</v>
      </c>
      <c r="BY122" t="b">
        <v>0</v>
      </c>
      <c r="BZ122" t="s">
        <v>216</v>
      </c>
      <c r="CA122" t="s">
        <v>213</v>
      </c>
      <c r="CB122" t="b">
        <v>1</v>
      </c>
    </row>
    <row r="123" spans="13:80" x14ac:dyDescent="0.2">
      <c r="M123" t="s">
        <v>40</v>
      </c>
      <c r="N123" s="1">
        <v>44246.604722222219</v>
      </c>
      <c r="O123">
        <v>7862403</v>
      </c>
      <c r="P123">
        <v>29277</v>
      </c>
      <c r="Q123">
        <v>3.7237</v>
      </c>
      <c r="R123">
        <v>15250</v>
      </c>
      <c r="S123">
        <v>1.9396</v>
      </c>
      <c r="T123">
        <v>305</v>
      </c>
      <c r="U123">
        <v>3.8800000000000001E-2</v>
      </c>
      <c r="V123">
        <v>700441</v>
      </c>
      <c r="W123">
        <v>89.087400000000002</v>
      </c>
      <c r="X123">
        <v>716971</v>
      </c>
      <c r="Y123">
        <v>91.189800000000005</v>
      </c>
      <c r="Z123">
        <v>120000</v>
      </c>
      <c r="AA123">
        <v>0</v>
      </c>
      <c r="AB123" s="2">
        <v>10896</v>
      </c>
      <c r="AC123" s="2">
        <v>5194</v>
      </c>
      <c r="AD123" s="2">
        <v>72241</v>
      </c>
      <c r="AE123" s="2">
        <v>11795</v>
      </c>
      <c r="AF123" s="2">
        <v>5716</v>
      </c>
      <c r="AG123" s="2">
        <v>295622</v>
      </c>
      <c r="AH123" s="2">
        <v>10941</v>
      </c>
      <c r="AI123" s="2">
        <v>7091</v>
      </c>
      <c r="AJ123" s="2">
        <v>335967</v>
      </c>
      <c r="AK123">
        <v>0</v>
      </c>
      <c r="AL123" s="2">
        <v>0</v>
      </c>
      <c r="AM123">
        <v>0</v>
      </c>
      <c r="AN123">
        <v>0</v>
      </c>
      <c r="AO123">
        <v>702.07</v>
      </c>
      <c r="AP123">
        <v>16795.11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5</v>
      </c>
      <c r="BC123">
        <v>5</v>
      </c>
      <c r="BD123">
        <v>250</v>
      </c>
      <c r="BE123">
        <v>7920</v>
      </c>
      <c r="BF123">
        <v>60</v>
      </c>
      <c r="BG123">
        <v>20</v>
      </c>
      <c r="BH123" s="2">
        <v>20</v>
      </c>
      <c r="BI123" t="b">
        <v>1</v>
      </c>
      <c r="BJ123">
        <v>3</v>
      </c>
      <c r="BK123">
        <v>0</v>
      </c>
      <c r="BM123" t="b">
        <v>1</v>
      </c>
      <c r="BN123" t="b">
        <v>0</v>
      </c>
      <c r="BO123">
        <v>7</v>
      </c>
      <c r="BP123" s="2">
        <v>450000</v>
      </c>
      <c r="BQ123" t="s">
        <v>189</v>
      </c>
      <c r="BR123">
        <v>244316</v>
      </c>
      <c r="BS123" t="b">
        <v>0</v>
      </c>
      <c r="BT123" t="b">
        <v>0</v>
      </c>
      <c r="BU123">
        <v>300</v>
      </c>
      <c r="BV123" t="s">
        <v>39</v>
      </c>
      <c r="BW123">
        <v>0</v>
      </c>
      <c r="BX123" t="s">
        <v>190</v>
      </c>
      <c r="BY123" t="b">
        <v>0</v>
      </c>
      <c r="CA123" t="s">
        <v>165</v>
      </c>
      <c r="CB123" t="b">
        <v>0</v>
      </c>
    </row>
    <row r="124" spans="13:80" x14ac:dyDescent="0.2">
      <c r="M124" t="s">
        <v>40</v>
      </c>
      <c r="N124" s="1">
        <v>44246.58425925926</v>
      </c>
      <c r="O124">
        <v>9621285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120000</v>
      </c>
      <c r="AA124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>
        <v>0</v>
      </c>
      <c r="AL124" s="2">
        <v>0</v>
      </c>
      <c r="AM124">
        <v>0</v>
      </c>
      <c r="AN124">
        <v>0</v>
      </c>
      <c r="AO124">
        <v>0</v>
      </c>
      <c r="AP124">
        <v>0</v>
      </c>
      <c r="AQ124">
        <v>100</v>
      </c>
      <c r="AR124">
        <v>624</v>
      </c>
      <c r="AS124">
        <v>6.4899999999999999E-2</v>
      </c>
      <c r="AT124">
        <v>144008</v>
      </c>
      <c r="AU124">
        <v>14.967599999999999</v>
      </c>
      <c r="AV124">
        <v>31968</v>
      </c>
      <c r="AW124">
        <v>3.3226</v>
      </c>
      <c r="AX124">
        <v>12344</v>
      </c>
      <c r="AY124">
        <v>4772</v>
      </c>
      <c r="AZ124">
        <v>1205000</v>
      </c>
      <c r="BA124">
        <v>2820.99</v>
      </c>
      <c r="BB124">
        <v>1</v>
      </c>
      <c r="BC124">
        <v>10</v>
      </c>
      <c r="BD124">
        <v>-1</v>
      </c>
      <c r="BE124">
        <v>-1</v>
      </c>
      <c r="BF124">
        <v>60</v>
      </c>
      <c r="BG124">
        <v>20</v>
      </c>
      <c r="BH124" s="2">
        <v>20</v>
      </c>
      <c r="BI124" t="b">
        <v>1</v>
      </c>
      <c r="BJ124">
        <v>3</v>
      </c>
      <c r="BK124">
        <v>0</v>
      </c>
      <c r="BM124" t="b">
        <v>1</v>
      </c>
      <c r="BN124" t="b">
        <v>0</v>
      </c>
      <c r="BO124">
        <v>1</v>
      </c>
      <c r="BP124" s="2">
        <v>-1</v>
      </c>
      <c r="BQ124" t="s">
        <v>189</v>
      </c>
      <c r="BR124">
        <v>244316</v>
      </c>
      <c r="BS124" t="b">
        <v>0</v>
      </c>
      <c r="BT124" t="b">
        <v>1</v>
      </c>
      <c r="BU124">
        <v>300</v>
      </c>
      <c r="BV124" t="s">
        <v>39</v>
      </c>
      <c r="BW124">
        <v>0</v>
      </c>
      <c r="BX124" t="s">
        <v>166</v>
      </c>
      <c r="BY124" t="b">
        <v>0</v>
      </c>
      <c r="BZ124" t="s">
        <v>216</v>
      </c>
      <c r="CA124" t="s">
        <v>213</v>
      </c>
      <c r="CB124" t="b">
        <v>1</v>
      </c>
    </row>
    <row r="125" spans="13:80" x14ac:dyDescent="0.2">
      <c r="M125" t="s">
        <v>40</v>
      </c>
      <c r="N125" s="1">
        <v>44246.604722222219</v>
      </c>
      <c r="O125">
        <v>7862402</v>
      </c>
      <c r="P125">
        <v>29277</v>
      </c>
      <c r="Q125">
        <v>3.7237</v>
      </c>
      <c r="R125">
        <v>15250</v>
      </c>
      <c r="S125">
        <v>1.9396</v>
      </c>
      <c r="T125">
        <v>305</v>
      </c>
      <c r="U125">
        <v>3.8800000000000001E-2</v>
      </c>
      <c r="V125">
        <v>821095</v>
      </c>
      <c r="W125">
        <v>104.4331</v>
      </c>
      <c r="X125">
        <v>840352</v>
      </c>
      <c r="Y125">
        <v>106.8823</v>
      </c>
      <c r="Z125">
        <v>120000</v>
      </c>
      <c r="AA125">
        <v>0</v>
      </c>
      <c r="AB125" s="2">
        <v>10564</v>
      </c>
      <c r="AC125" s="2">
        <v>6412</v>
      </c>
      <c r="AD125" s="2">
        <v>74662</v>
      </c>
      <c r="AE125" s="2">
        <v>11347</v>
      </c>
      <c r="AF125" s="2">
        <v>7257</v>
      </c>
      <c r="AG125" s="2">
        <v>38973</v>
      </c>
      <c r="AH125" s="2">
        <v>9332</v>
      </c>
      <c r="AI125" s="2">
        <v>7014</v>
      </c>
      <c r="AJ125" s="2">
        <v>174693</v>
      </c>
      <c r="AK125">
        <v>0</v>
      </c>
      <c r="AL125" s="2">
        <v>0</v>
      </c>
      <c r="AM125">
        <v>0</v>
      </c>
      <c r="AN125">
        <v>0</v>
      </c>
      <c r="AO125">
        <v>694.61</v>
      </c>
      <c r="AP125">
        <v>19476.28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5</v>
      </c>
      <c r="BC125">
        <v>5</v>
      </c>
      <c r="BD125">
        <v>250</v>
      </c>
      <c r="BE125">
        <v>7920</v>
      </c>
      <c r="BF125">
        <v>60</v>
      </c>
      <c r="BG125">
        <v>20</v>
      </c>
      <c r="BH125" s="2">
        <v>20</v>
      </c>
      <c r="BI125" t="b">
        <v>1</v>
      </c>
      <c r="BJ125">
        <v>3</v>
      </c>
      <c r="BK125">
        <v>0</v>
      </c>
      <c r="BM125" t="b">
        <v>1</v>
      </c>
      <c r="BN125" t="b">
        <v>0</v>
      </c>
      <c r="BO125">
        <v>7</v>
      </c>
      <c r="BP125" s="2">
        <v>450000</v>
      </c>
      <c r="BQ125" t="s">
        <v>189</v>
      </c>
      <c r="BR125">
        <v>244316</v>
      </c>
      <c r="BS125" t="b">
        <v>0</v>
      </c>
      <c r="BT125" t="b">
        <v>0</v>
      </c>
      <c r="BU125">
        <v>300</v>
      </c>
      <c r="BV125" t="s">
        <v>39</v>
      </c>
      <c r="BW125">
        <v>0</v>
      </c>
      <c r="BX125" t="s">
        <v>190</v>
      </c>
      <c r="BY125" t="b">
        <v>0</v>
      </c>
      <c r="CA125" t="s">
        <v>165</v>
      </c>
      <c r="CB125" t="b">
        <v>0</v>
      </c>
    </row>
    <row r="126" spans="13:80" x14ac:dyDescent="0.2">
      <c r="M126" t="s">
        <v>40</v>
      </c>
      <c r="N126" s="1">
        <v>44246.58425925926</v>
      </c>
      <c r="O126">
        <v>9621420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120000</v>
      </c>
      <c r="AA126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>
        <v>0</v>
      </c>
      <c r="AL126" s="2">
        <v>0</v>
      </c>
      <c r="AM126">
        <v>0</v>
      </c>
      <c r="AN126">
        <v>0</v>
      </c>
      <c r="AO126">
        <v>0</v>
      </c>
      <c r="AP126">
        <v>0</v>
      </c>
      <c r="AQ126">
        <v>100</v>
      </c>
      <c r="AR126">
        <v>655</v>
      </c>
      <c r="AS126">
        <v>6.8099999999999994E-2</v>
      </c>
      <c r="AT126">
        <v>142489</v>
      </c>
      <c r="AU126">
        <v>14.8096</v>
      </c>
      <c r="AV126">
        <v>31975</v>
      </c>
      <c r="AW126">
        <v>3.3233000000000001</v>
      </c>
      <c r="AX126">
        <v>12014</v>
      </c>
      <c r="AY126">
        <v>3258</v>
      </c>
      <c r="AZ126">
        <v>799843</v>
      </c>
      <c r="BA126">
        <v>2760.47</v>
      </c>
      <c r="BB126">
        <v>1</v>
      </c>
      <c r="BC126">
        <v>10</v>
      </c>
      <c r="BD126">
        <v>-1</v>
      </c>
      <c r="BE126">
        <v>-1</v>
      </c>
      <c r="BF126">
        <v>60</v>
      </c>
      <c r="BG126">
        <v>20</v>
      </c>
      <c r="BH126" s="2">
        <v>20</v>
      </c>
      <c r="BI126" t="b">
        <v>1</v>
      </c>
      <c r="BJ126">
        <v>3</v>
      </c>
      <c r="BK126">
        <v>0</v>
      </c>
      <c r="BM126" t="b">
        <v>1</v>
      </c>
      <c r="BN126" t="b">
        <v>0</v>
      </c>
      <c r="BO126">
        <v>1</v>
      </c>
      <c r="BP126" s="2">
        <v>-1</v>
      </c>
      <c r="BQ126" t="s">
        <v>189</v>
      </c>
      <c r="BR126">
        <v>244316</v>
      </c>
      <c r="BS126" t="b">
        <v>0</v>
      </c>
      <c r="BT126" t="b">
        <v>1</v>
      </c>
      <c r="BU126">
        <v>300</v>
      </c>
      <c r="BV126" t="s">
        <v>39</v>
      </c>
      <c r="BW126">
        <v>0</v>
      </c>
      <c r="BX126" t="s">
        <v>166</v>
      </c>
      <c r="BY126" t="b">
        <v>0</v>
      </c>
      <c r="BZ126" t="s">
        <v>216</v>
      </c>
      <c r="CA126" t="s">
        <v>213</v>
      </c>
      <c r="CB126" t="b">
        <v>1</v>
      </c>
    </row>
    <row r="127" spans="13:80" x14ac:dyDescent="0.2">
      <c r="M127" t="s">
        <v>40</v>
      </c>
      <c r="N127" s="1">
        <v>44246.604722222219</v>
      </c>
      <c r="O127">
        <v>7862402</v>
      </c>
      <c r="P127">
        <v>29277</v>
      </c>
      <c r="Q127">
        <v>3.7237</v>
      </c>
      <c r="R127">
        <v>15250</v>
      </c>
      <c r="S127">
        <v>1.9396</v>
      </c>
      <c r="T127">
        <v>305</v>
      </c>
      <c r="U127">
        <v>3.8800000000000001E-2</v>
      </c>
      <c r="V127">
        <v>893161</v>
      </c>
      <c r="W127">
        <v>113.599</v>
      </c>
      <c r="X127">
        <v>914572</v>
      </c>
      <c r="Y127">
        <v>116.3222</v>
      </c>
      <c r="Z127">
        <v>120000</v>
      </c>
      <c r="AA127">
        <v>0</v>
      </c>
      <c r="AB127" s="2">
        <v>10613</v>
      </c>
      <c r="AC127" s="2">
        <v>5814</v>
      </c>
      <c r="AD127" s="2">
        <v>1194839</v>
      </c>
      <c r="AE127" s="2">
        <v>9313</v>
      </c>
      <c r="AF127" s="2">
        <v>5551</v>
      </c>
      <c r="AG127" s="2">
        <v>66207</v>
      </c>
      <c r="AH127" s="2">
        <v>8574</v>
      </c>
      <c r="AI127" s="2">
        <v>6122</v>
      </c>
      <c r="AJ127" s="2">
        <v>109962</v>
      </c>
      <c r="AK127">
        <v>0</v>
      </c>
      <c r="AL127" s="2">
        <v>0</v>
      </c>
      <c r="AM127">
        <v>0</v>
      </c>
      <c r="AN127">
        <v>0</v>
      </c>
      <c r="AO127">
        <v>698.23</v>
      </c>
      <c r="AP127">
        <v>21299.67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</v>
      </c>
      <c r="BC127">
        <v>5</v>
      </c>
      <c r="BD127">
        <v>250</v>
      </c>
      <c r="BE127">
        <v>7920</v>
      </c>
      <c r="BF127">
        <v>60</v>
      </c>
      <c r="BG127">
        <v>20</v>
      </c>
      <c r="BH127" s="2">
        <v>20</v>
      </c>
      <c r="BI127" t="b">
        <v>1</v>
      </c>
      <c r="BJ127">
        <v>3</v>
      </c>
      <c r="BK127">
        <v>0</v>
      </c>
      <c r="BM127" t="b">
        <v>1</v>
      </c>
      <c r="BN127" t="b">
        <v>0</v>
      </c>
      <c r="BO127">
        <v>7</v>
      </c>
      <c r="BP127" s="2">
        <v>450000</v>
      </c>
      <c r="BQ127" t="s">
        <v>189</v>
      </c>
      <c r="BR127">
        <v>244316</v>
      </c>
      <c r="BS127" t="b">
        <v>0</v>
      </c>
      <c r="BT127" t="b">
        <v>0</v>
      </c>
      <c r="BU127">
        <v>300</v>
      </c>
      <c r="BV127" t="s">
        <v>39</v>
      </c>
      <c r="BW127">
        <v>0</v>
      </c>
      <c r="BX127" t="s">
        <v>190</v>
      </c>
      <c r="BY127" t="b">
        <v>0</v>
      </c>
      <c r="CA127" t="s">
        <v>165</v>
      </c>
      <c r="CB127" t="b">
        <v>0</v>
      </c>
    </row>
    <row r="128" spans="13:80" x14ac:dyDescent="0.2">
      <c r="M128" t="s">
        <v>40</v>
      </c>
      <c r="N128" s="1">
        <v>44246.58425925926</v>
      </c>
      <c r="O128">
        <v>9621541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120000</v>
      </c>
      <c r="AA128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>
        <v>0</v>
      </c>
      <c r="AL128" s="2">
        <v>0</v>
      </c>
      <c r="AM128">
        <v>0</v>
      </c>
      <c r="AN128">
        <v>0</v>
      </c>
      <c r="AO128">
        <v>0</v>
      </c>
      <c r="AP128">
        <v>0</v>
      </c>
      <c r="AQ128">
        <v>100</v>
      </c>
      <c r="AR128">
        <v>611</v>
      </c>
      <c r="AS128">
        <v>6.3500000000000001E-2</v>
      </c>
      <c r="AT128">
        <v>142305</v>
      </c>
      <c r="AU128">
        <v>14.7902</v>
      </c>
      <c r="AV128">
        <v>31979</v>
      </c>
      <c r="AW128">
        <v>3.3237000000000001</v>
      </c>
      <c r="AX128">
        <v>12898</v>
      </c>
      <c r="AY128">
        <v>4657</v>
      </c>
      <c r="AZ128">
        <v>993935</v>
      </c>
      <c r="BA128">
        <v>2768.12</v>
      </c>
      <c r="BB128">
        <v>1</v>
      </c>
      <c r="BC128">
        <v>10</v>
      </c>
      <c r="BD128">
        <v>-1</v>
      </c>
      <c r="BE128">
        <v>-1</v>
      </c>
      <c r="BF128">
        <v>60</v>
      </c>
      <c r="BG128">
        <v>20</v>
      </c>
      <c r="BH128" s="2">
        <v>20</v>
      </c>
      <c r="BI128" t="b">
        <v>1</v>
      </c>
      <c r="BJ128">
        <v>3</v>
      </c>
      <c r="BK128">
        <v>0</v>
      </c>
      <c r="BM128" t="b">
        <v>1</v>
      </c>
      <c r="BN128" t="b">
        <v>0</v>
      </c>
      <c r="BO128">
        <v>1</v>
      </c>
      <c r="BP128" s="2">
        <v>-1</v>
      </c>
      <c r="BQ128" t="s">
        <v>189</v>
      </c>
      <c r="BR128">
        <v>244316</v>
      </c>
      <c r="BS128" t="b">
        <v>0</v>
      </c>
      <c r="BT128" t="b">
        <v>1</v>
      </c>
      <c r="BU128">
        <v>300</v>
      </c>
      <c r="BV128" t="s">
        <v>39</v>
      </c>
      <c r="BW128">
        <v>0</v>
      </c>
      <c r="BX128" t="s">
        <v>166</v>
      </c>
      <c r="BY128" t="b">
        <v>0</v>
      </c>
      <c r="BZ128" t="s">
        <v>216</v>
      </c>
      <c r="CA128" t="s">
        <v>213</v>
      </c>
      <c r="CB128" t="b">
        <v>1</v>
      </c>
    </row>
    <row r="129" spans="13:80" x14ac:dyDescent="0.2">
      <c r="M129" t="s">
        <v>40</v>
      </c>
      <c r="N129" s="1">
        <v>44246.604756944442</v>
      </c>
      <c r="O129">
        <v>7862401</v>
      </c>
      <c r="P129">
        <v>29271</v>
      </c>
      <c r="Q129">
        <v>3.7229000000000001</v>
      </c>
      <c r="R129">
        <v>15250</v>
      </c>
      <c r="S129">
        <v>1.9396</v>
      </c>
      <c r="T129">
        <v>305</v>
      </c>
      <c r="U129">
        <v>3.8800000000000001E-2</v>
      </c>
      <c r="V129">
        <v>838920</v>
      </c>
      <c r="W129">
        <v>106.7002</v>
      </c>
      <c r="X129">
        <v>858635</v>
      </c>
      <c r="Y129">
        <v>109.2077</v>
      </c>
      <c r="Z129">
        <v>120000</v>
      </c>
      <c r="AA129">
        <v>0</v>
      </c>
      <c r="AB129" s="2">
        <v>12330</v>
      </c>
      <c r="AC129" s="2">
        <v>3465</v>
      </c>
      <c r="AD129" s="2">
        <v>991969</v>
      </c>
      <c r="AE129" s="2">
        <v>10318</v>
      </c>
      <c r="AF129" s="2">
        <v>4323</v>
      </c>
      <c r="AG129" s="2">
        <v>62630</v>
      </c>
      <c r="AH129" s="2">
        <v>9131</v>
      </c>
      <c r="AI129" s="2">
        <v>6810</v>
      </c>
      <c r="AJ129" s="2">
        <v>174127</v>
      </c>
      <c r="AK129">
        <v>0</v>
      </c>
      <c r="AL129" s="2">
        <v>0</v>
      </c>
      <c r="AM129">
        <v>0</v>
      </c>
      <c r="AN129">
        <v>0</v>
      </c>
      <c r="AO129">
        <v>701.92</v>
      </c>
      <c r="AP129">
        <v>20117.11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5</v>
      </c>
      <c r="BC129">
        <v>5</v>
      </c>
      <c r="BD129">
        <v>250</v>
      </c>
      <c r="BE129">
        <v>7920</v>
      </c>
      <c r="BF129">
        <v>60</v>
      </c>
      <c r="BG129">
        <v>20</v>
      </c>
      <c r="BH129" s="2">
        <v>20</v>
      </c>
      <c r="BI129" t="b">
        <v>1</v>
      </c>
      <c r="BJ129">
        <v>3</v>
      </c>
      <c r="BK129">
        <v>0</v>
      </c>
      <c r="BM129" t="b">
        <v>1</v>
      </c>
      <c r="BN129" t="b">
        <v>0</v>
      </c>
      <c r="BO129">
        <v>7</v>
      </c>
      <c r="BP129" s="2">
        <v>450000</v>
      </c>
      <c r="BQ129" t="s">
        <v>189</v>
      </c>
      <c r="BR129">
        <v>244316</v>
      </c>
      <c r="BS129" t="b">
        <v>0</v>
      </c>
      <c r="BT129" t="b">
        <v>0</v>
      </c>
      <c r="BU129">
        <v>300</v>
      </c>
      <c r="BV129" t="s">
        <v>39</v>
      </c>
      <c r="BW129">
        <v>0</v>
      </c>
      <c r="BX129" t="s">
        <v>190</v>
      </c>
      <c r="BY129" t="b">
        <v>0</v>
      </c>
      <c r="CA129" t="s">
        <v>165</v>
      </c>
      <c r="CB129" t="b">
        <v>0</v>
      </c>
    </row>
    <row r="130" spans="13:80" x14ac:dyDescent="0.2">
      <c r="M130" t="s">
        <v>40</v>
      </c>
      <c r="N130" s="1">
        <v>44246.584293981483</v>
      </c>
      <c r="O130">
        <v>9618212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120000</v>
      </c>
      <c r="AA130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>
        <v>0</v>
      </c>
      <c r="AL130" s="2">
        <v>0</v>
      </c>
      <c r="AM130">
        <v>0</v>
      </c>
      <c r="AN130">
        <v>0</v>
      </c>
      <c r="AO130">
        <v>0</v>
      </c>
      <c r="AP130">
        <v>0</v>
      </c>
      <c r="AQ130">
        <v>100</v>
      </c>
      <c r="AR130">
        <v>633</v>
      </c>
      <c r="AS130">
        <v>6.5799999999999997E-2</v>
      </c>
      <c r="AT130">
        <v>144853</v>
      </c>
      <c r="AU130">
        <v>15.0603</v>
      </c>
      <c r="AV130">
        <v>31967</v>
      </c>
      <c r="AW130">
        <v>3.3235999999999999</v>
      </c>
      <c r="AX130">
        <v>13198</v>
      </c>
      <c r="AY130">
        <v>3957</v>
      </c>
      <c r="AZ130">
        <v>899967</v>
      </c>
      <c r="BA130">
        <v>2837.87</v>
      </c>
      <c r="BB130">
        <v>1</v>
      </c>
      <c r="BC130">
        <v>10</v>
      </c>
      <c r="BD130">
        <v>-1</v>
      </c>
      <c r="BE130">
        <v>-1</v>
      </c>
      <c r="BF130">
        <v>60</v>
      </c>
      <c r="BG130">
        <v>20</v>
      </c>
      <c r="BH130" s="2">
        <v>20</v>
      </c>
      <c r="BI130" t="b">
        <v>1</v>
      </c>
      <c r="BJ130">
        <v>3</v>
      </c>
      <c r="BK130">
        <v>0</v>
      </c>
      <c r="BM130" t="b">
        <v>1</v>
      </c>
      <c r="BN130" t="b">
        <v>0</v>
      </c>
      <c r="BO130">
        <v>1</v>
      </c>
      <c r="BP130" s="2">
        <v>-1</v>
      </c>
      <c r="BQ130" t="s">
        <v>189</v>
      </c>
      <c r="BR130">
        <v>244316</v>
      </c>
      <c r="BS130" t="b">
        <v>0</v>
      </c>
      <c r="BT130" t="b">
        <v>1</v>
      </c>
      <c r="BU130">
        <v>300</v>
      </c>
      <c r="BV130" t="s">
        <v>39</v>
      </c>
      <c r="BW130">
        <v>0</v>
      </c>
      <c r="BX130" t="s">
        <v>166</v>
      </c>
      <c r="BY130" t="b">
        <v>0</v>
      </c>
      <c r="BZ130" t="s">
        <v>216</v>
      </c>
      <c r="CA130" t="s">
        <v>213</v>
      </c>
      <c r="CB130" t="b">
        <v>1</v>
      </c>
    </row>
    <row r="131" spans="13:80" x14ac:dyDescent="0.2">
      <c r="M131" t="s">
        <v>40</v>
      </c>
      <c r="N131" s="1">
        <v>44246.604722222219</v>
      </c>
      <c r="O131">
        <v>7862401</v>
      </c>
      <c r="P131">
        <v>29277</v>
      </c>
      <c r="Q131">
        <v>3.7237</v>
      </c>
      <c r="R131">
        <v>15250</v>
      </c>
      <c r="S131">
        <v>1.9396</v>
      </c>
      <c r="T131">
        <v>305</v>
      </c>
      <c r="U131">
        <v>3.8800000000000001E-2</v>
      </c>
      <c r="V131">
        <v>702270</v>
      </c>
      <c r="W131">
        <v>89.32</v>
      </c>
      <c r="X131">
        <v>719024</v>
      </c>
      <c r="Y131">
        <v>91.450900000000004</v>
      </c>
      <c r="Z131">
        <v>120000</v>
      </c>
      <c r="AA131">
        <v>0</v>
      </c>
      <c r="AB131" s="2">
        <v>12651</v>
      </c>
      <c r="AC131" s="2">
        <v>4857</v>
      </c>
      <c r="AD131" s="2">
        <v>1289413</v>
      </c>
      <c r="AE131" s="2">
        <v>10660</v>
      </c>
      <c r="AF131" s="2">
        <v>5392</v>
      </c>
      <c r="AG131" s="2">
        <v>46515</v>
      </c>
      <c r="AH131" s="2">
        <v>10911</v>
      </c>
      <c r="AI131" s="2">
        <v>7019</v>
      </c>
      <c r="AJ131" s="2">
        <v>325285</v>
      </c>
      <c r="AK131">
        <v>0</v>
      </c>
      <c r="AL131" s="2">
        <v>0</v>
      </c>
      <c r="AM131">
        <v>0</v>
      </c>
      <c r="AN131">
        <v>0</v>
      </c>
      <c r="AO131">
        <v>702.08</v>
      </c>
      <c r="AP131">
        <v>16838.46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5</v>
      </c>
      <c r="BC131">
        <v>5</v>
      </c>
      <c r="BD131">
        <v>250</v>
      </c>
      <c r="BE131">
        <v>7920</v>
      </c>
      <c r="BF131">
        <v>60</v>
      </c>
      <c r="BG131">
        <v>20</v>
      </c>
      <c r="BH131" s="2">
        <v>20</v>
      </c>
      <c r="BI131" t="b">
        <v>1</v>
      </c>
      <c r="BJ131">
        <v>3</v>
      </c>
      <c r="BK131">
        <v>0</v>
      </c>
      <c r="BM131" t="b">
        <v>1</v>
      </c>
      <c r="BN131" t="b">
        <v>0</v>
      </c>
      <c r="BO131">
        <v>7</v>
      </c>
      <c r="BP131" s="2">
        <v>450000</v>
      </c>
      <c r="BQ131" t="s">
        <v>189</v>
      </c>
      <c r="BR131">
        <v>244316</v>
      </c>
      <c r="BS131" t="b">
        <v>0</v>
      </c>
      <c r="BT131" t="b">
        <v>0</v>
      </c>
      <c r="BU131">
        <v>300</v>
      </c>
      <c r="BV131" t="s">
        <v>39</v>
      </c>
      <c r="BW131">
        <v>0</v>
      </c>
      <c r="BX131" t="s">
        <v>190</v>
      </c>
      <c r="BY131" t="b">
        <v>0</v>
      </c>
      <c r="CA131" t="s">
        <v>165</v>
      </c>
      <c r="CB131" t="b">
        <v>0</v>
      </c>
    </row>
    <row r="132" spans="13:80" x14ac:dyDescent="0.2">
      <c r="M132" t="s">
        <v>40</v>
      </c>
      <c r="N132" s="1">
        <v>44246.58425925926</v>
      </c>
      <c r="O132">
        <v>9621456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120000</v>
      </c>
      <c r="AA13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>
        <v>0</v>
      </c>
      <c r="AL132" s="2">
        <v>0</v>
      </c>
      <c r="AM132">
        <v>0</v>
      </c>
      <c r="AN132">
        <v>0</v>
      </c>
      <c r="AO132">
        <v>0</v>
      </c>
      <c r="AP132">
        <v>0</v>
      </c>
      <c r="AQ132">
        <v>100</v>
      </c>
      <c r="AR132">
        <v>652</v>
      </c>
      <c r="AS132">
        <v>6.7799999999999999E-2</v>
      </c>
      <c r="AT132">
        <v>140181</v>
      </c>
      <c r="AU132">
        <v>14.569599999999999</v>
      </c>
      <c r="AV132">
        <v>31970</v>
      </c>
      <c r="AW132">
        <v>3.3228</v>
      </c>
      <c r="AX132">
        <v>12240</v>
      </c>
      <c r="AY132">
        <v>4599</v>
      </c>
      <c r="AZ132">
        <v>1147458</v>
      </c>
      <c r="BA132">
        <v>2742.73</v>
      </c>
      <c r="BB132">
        <v>1</v>
      </c>
      <c r="BC132">
        <v>10</v>
      </c>
      <c r="BD132">
        <v>-1</v>
      </c>
      <c r="BE132">
        <v>-1</v>
      </c>
      <c r="BF132">
        <v>60</v>
      </c>
      <c r="BG132">
        <v>20</v>
      </c>
      <c r="BH132" s="2">
        <v>20</v>
      </c>
      <c r="BI132" t="b">
        <v>1</v>
      </c>
      <c r="BJ132">
        <v>3</v>
      </c>
      <c r="BK132">
        <v>0</v>
      </c>
      <c r="BM132" t="b">
        <v>1</v>
      </c>
      <c r="BN132" t="b">
        <v>0</v>
      </c>
      <c r="BO132">
        <v>1</v>
      </c>
      <c r="BP132" s="2">
        <v>-1</v>
      </c>
      <c r="BQ132" t="s">
        <v>189</v>
      </c>
      <c r="BR132">
        <v>244316</v>
      </c>
      <c r="BS132" t="b">
        <v>0</v>
      </c>
      <c r="BT132" t="b">
        <v>1</v>
      </c>
      <c r="BU132">
        <v>300</v>
      </c>
      <c r="BV132" t="s">
        <v>39</v>
      </c>
      <c r="BW132">
        <v>0</v>
      </c>
      <c r="BX132" t="s">
        <v>166</v>
      </c>
      <c r="BY132" t="b">
        <v>0</v>
      </c>
      <c r="BZ132" t="s">
        <v>216</v>
      </c>
      <c r="CA132" t="s">
        <v>213</v>
      </c>
      <c r="CB132" t="b">
        <v>1</v>
      </c>
    </row>
    <row r="133" spans="13:80" x14ac:dyDescent="0.2">
      <c r="M133" t="s">
        <v>40</v>
      </c>
      <c r="N133" s="1">
        <v>44246.604722222219</v>
      </c>
      <c r="O133">
        <v>7862401</v>
      </c>
      <c r="P133">
        <v>29276</v>
      </c>
      <c r="Q133">
        <v>3.7235</v>
      </c>
      <c r="R133">
        <v>15250</v>
      </c>
      <c r="S133">
        <v>1.9396</v>
      </c>
      <c r="T133">
        <v>305</v>
      </c>
      <c r="U133">
        <v>3.8800000000000001E-2</v>
      </c>
      <c r="V133">
        <v>590830</v>
      </c>
      <c r="W133">
        <v>75.146199999999993</v>
      </c>
      <c r="X133">
        <v>605085</v>
      </c>
      <c r="Y133">
        <v>76.959299999999999</v>
      </c>
      <c r="Z133">
        <v>120000</v>
      </c>
      <c r="AA133">
        <v>0</v>
      </c>
      <c r="AB133" s="2">
        <v>12575</v>
      </c>
      <c r="AC133" s="2">
        <v>5675</v>
      </c>
      <c r="AD133" s="2">
        <v>1135767</v>
      </c>
      <c r="AE133" s="2">
        <v>12408</v>
      </c>
      <c r="AF133" s="2">
        <v>5903</v>
      </c>
      <c r="AG133" s="2">
        <v>435046</v>
      </c>
      <c r="AH133" s="2">
        <v>12963</v>
      </c>
      <c r="AI133" s="2">
        <v>8381</v>
      </c>
      <c r="AJ133" s="2">
        <v>328460</v>
      </c>
      <c r="AK133">
        <v>0</v>
      </c>
      <c r="AL133" s="2">
        <v>0</v>
      </c>
      <c r="AM133">
        <v>0</v>
      </c>
      <c r="AN133">
        <v>0</v>
      </c>
      <c r="AO133">
        <v>698.17</v>
      </c>
      <c r="AP133">
        <v>14089.11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5</v>
      </c>
      <c r="BC133">
        <v>5</v>
      </c>
      <c r="BD133">
        <v>250</v>
      </c>
      <c r="BE133">
        <v>7920</v>
      </c>
      <c r="BF133">
        <v>60</v>
      </c>
      <c r="BG133">
        <v>20</v>
      </c>
      <c r="BH133" s="2">
        <v>20</v>
      </c>
      <c r="BI133" t="b">
        <v>1</v>
      </c>
      <c r="BJ133">
        <v>3</v>
      </c>
      <c r="BK133">
        <v>0</v>
      </c>
      <c r="BM133" t="b">
        <v>1</v>
      </c>
      <c r="BN133" t="b">
        <v>0</v>
      </c>
      <c r="BO133">
        <v>7</v>
      </c>
      <c r="BP133" s="2">
        <v>450000</v>
      </c>
      <c r="BQ133" t="s">
        <v>189</v>
      </c>
      <c r="BR133">
        <v>244316</v>
      </c>
      <c r="BS133" t="b">
        <v>0</v>
      </c>
      <c r="BT133" t="b">
        <v>0</v>
      </c>
      <c r="BU133">
        <v>300</v>
      </c>
      <c r="BV133" t="s">
        <v>39</v>
      </c>
      <c r="BW133">
        <v>0</v>
      </c>
      <c r="BX133" t="s">
        <v>190</v>
      </c>
      <c r="BY133" t="b">
        <v>0</v>
      </c>
      <c r="CA133" t="s">
        <v>165</v>
      </c>
      <c r="CB133" t="b">
        <v>0</v>
      </c>
    </row>
    <row r="134" spans="13:80" x14ac:dyDescent="0.2">
      <c r="M134" t="s">
        <v>40</v>
      </c>
      <c r="N134" s="1">
        <v>44246.58425925926</v>
      </c>
      <c r="O134">
        <v>9620860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120000</v>
      </c>
      <c r="AA134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>
        <v>0</v>
      </c>
      <c r="AL134" s="2">
        <v>0</v>
      </c>
      <c r="AM134">
        <v>0</v>
      </c>
      <c r="AN134">
        <v>0</v>
      </c>
      <c r="AO134">
        <v>0</v>
      </c>
      <c r="AP134">
        <v>0</v>
      </c>
      <c r="AQ134">
        <v>100</v>
      </c>
      <c r="AR134">
        <v>623</v>
      </c>
      <c r="AS134">
        <v>6.4799999999999996E-2</v>
      </c>
      <c r="AT134">
        <v>142889</v>
      </c>
      <c r="AU134">
        <v>14.852</v>
      </c>
      <c r="AV134">
        <v>31967</v>
      </c>
      <c r="AW134">
        <v>3.3227000000000002</v>
      </c>
      <c r="AX134">
        <v>10457</v>
      </c>
      <c r="AY134">
        <v>4834</v>
      </c>
      <c r="AZ134">
        <v>151468</v>
      </c>
      <c r="BA134">
        <v>2793.21</v>
      </c>
      <c r="BB134">
        <v>1</v>
      </c>
      <c r="BC134">
        <v>10</v>
      </c>
      <c r="BD134">
        <v>-1</v>
      </c>
      <c r="BE134">
        <v>-1</v>
      </c>
      <c r="BF134">
        <v>60</v>
      </c>
      <c r="BG134">
        <v>20</v>
      </c>
      <c r="BH134" s="2">
        <v>20</v>
      </c>
      <c r="BI134" t="b">
        <v>1</v>
      </c>
      <c r="BJ134">
        <v>3</v>
      </c>
      <c r="BK134">
        <v>0</v>
      </c>
      <c r="BM134" t="b">
        <v>1</v>
      </c>
      <c r="BN134" t="b">
        <v>0</v>
      </c>
      <c r="BO134">
        <v>1</v>
      </c>
      <c r="BP134" s="2">
        <v>-1</v>
      </c>
      <c r="BQ134" t="s">
        <v>189</v>
      </c>
      <c r="BR134">
        <v>244316</v>
      </c>
      <c r="BS134" t="b">
        <v>0</v>
      </c>
      <c r="BT134" t="b">
        <v>1</v>
      </c>
      <c r="BU134">
        <v>300</v>
      </c>
      <c r="BV134" t="s">
        <v>39</v>
      </c>
      <c r="BW134">
        <v>0</v>
      </c>
      <c r="BX134" t="s">
        <v>166</v>
      </c>
      <c r="BY134" t="b">
        <v>0</v>
      </c>
      <c r="BZ134" t="s">
        <v>216</v>
      </c>
      <c r="CA134" t="s">
        <v>213</v>
      </c>
      <c r="CB134" t="b">
        <v>1</v>
      </c>
    </row>
    <row r="135" spans="13:80" x14ac:dyDescent="0.2">
      <c r="M135" t="s">
        <v>40</v>
      </c>
      <c r="N135" s="1">
        <v>44246.604722222219</v>
      </c>
      <c r="O135">
        <v>7862402</v>
      </c>
      <c r="P135">
        <v>29276</v>
      </c>
      <c r="Q135">
        <v>3.7235</v>
      </c>
      <c r="R135">
        <v>15250</v>
      </c>
      <c r="S135">
        <v>1.9396</v>
      </c>
      <c r="T135">
        <v>305</v>
      </c>
      <c r="U135">
        <v>3.8800000000000001E-2</v>
      </c>
      <c r="V135">
        <v>659375</v>
      </c>
      <c r="W135">
        <v>83.8643</v>
      </c>
      <c r="X135">
        <v>675222</v>
      </c>
      <c r="Y135">
        <v>85.879900000000006</v>
      </c>
      <c r="Z135">
        <v>120000</v>
      </c>
      <c r="AA135">
        <v>0</v>
      </c>
      <c r="AB135" s="2">
        <v>9406</v>
      </c>
      <c r="AC135" s="2">
        <v>5084</v>
      </c>
      <c r="AD135" s="2">
        <v>103296</v>
      </c>
      <c r="AE135" s="2">
        <v>10015</v>
      </c>
      <c r="AF135" s="2">
        <v>5642</v>
      </c>
      <c r="AG135" s="2">
        <v>53776</v>
      </c>
      <c r="AH135" s="2">
        <v>11620</v>
      </c>
      <c r="AI135" s="2">
        <v>7495</v>
      </c>
      <c r="AJ135" s="2">
        <v>1355040</v>
      </c>
      <c r="AK135">
        <v>0</v>
      </c>
      <c r="AL135" s="2">
        <v>0</v>
      </c>
      <c r="AM135">
        <v>0</v>
      </c>
      <c r="AN135">
        <v>0</v>
      </c>
      <c r="AO135">
        <v>701.72</v>
      </c>
      <c r="AP135">
        <v>15805.75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</v>
      </c>
      <c r="BC135">
        <v>5</v>
      </c>
      <c r="BD135">
        <v>250</v>
      </c>
      <c r="BE135">
        <v>7920</v>
      </c>
      <c r="BF135">
        <v>60</v>
      </c>
      <c r="BG135">
        <v>20</v>
      </c>
      <c r="BH135" s="2">
        <v>20</v>
      </c>
      <c r="BI135" t="b">
        <v>1</v>
      </c>
      <c r="BJ135">
        <v>3</v>
      </c>
      <c r="BK135">
        <v>0</v>
      </c>
      <c r="BM135" t="b">
        <v>1</v>
      </c>
      <c r="BN135" t="b">
        <v>0</v>
      </c>
      <c r="BO135">
        <v>7</v>
      </c>
      <c r="BP135" s="2">
        <v>450000</v>
      </c>
      <c r="BQ135" t="s">
        <v>189</v>
      </c>
      <c r="BR135">
        <v>244316</v>
      </c>
      <c r="BS135" t="b">
        <v>0</v>
      </c>
      <c r="BT135" t="b">
        <v>0</v>
      </c>
      <c r="BU135">
        <v>300</v>
      </c>
      <c r="BV135" t="s">
        <v>39</v>
      </c>
      <c r="BW135">
        <v>0</v>
      </c>
      <c r="BX135" t="s">
        <v>190</v>
      </c>
      <c r="BY135" t="b">
        <v>0</v>
      </c>
      <c r="CA135" t="s">
        <v>165</v>
      </c>
      <c r="CB135" t="b">
        <v>0</v>
      </c>
    </row>
    <row r="136" spans="13:80" x14ac:dyDescent="0.2">
      <c r="M136" t="s">
        <v>40</v>
      </c>
      <c r="N136" s="1">
        <v>44246.58425925926</v>
      </c>
      <c r="O136">
        <v>9620964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120000</v>
      </c>
      <c r="AA136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>
        <v>0</v>
      </c>
      <c r="AL136" s="2">
        <v>0</v>
      </c>
      <c r="AM136">
        <v>0</v>
      </c>
      <c r="AN136">
        <v>0</v>
      </c>
      <c r="AO136">
        <v>0</v>
      </c>
      <c r="AP136">
        <v>0</v>
      </c>
      <c r="AQ136">
        <v>100</v>
      </c>
      <c r="AR136">
        <v>622</v>
      </c>
      <c r="AS136">
        <v>6.4699999999999994E-2</v>
      </c>
      <c r="AT136">
        <v>141605</v>
      </c>
      <c r="AU136">
        <v>14.718400000000001</v>
      </c>
      <c r="AV136">
        <v>31971</v>
      </c>
      <c r="AW136">
        <v>3.3231000000000002</v>
      </c>
      <c r="AX136">
        <v>12188</v>
      </c>
      <c r="AY136">
        <v>4493</v>
      </c>
      <c r="AZ136">
        <v>981925</v>
      </c>
      <c r="BA136">
        <v>2777.8</v>
      </c>
      <c r="BB136">
        <v>1</v>
      </c>
      <c r="BC136">
        <v>10</v>
      </c>
      <c r="BD136">
        <v>-1</v>
      </c>
      <c r="BE136">
        <v>-1</v>
      </c>
      <c r="BF136">
        <v>60</v>
      </c>
      <c r="BG136">
        <v>20</v>
      </c>
      <c r="BH136" s="2">
        <v>20</v>
      </c>
      <c r="BI136" t="b">
        <v>1</v>
      </c>
      <c r="BJ136">
        <v>3</v>
      </c>
      <c r="BK136">
        <v>0</v>
      </c>
      <c r="BM136" t="b">
        <v>1</v>
      </c>
      <c r="BN136" t="b">
        <v>0</v>
      </c>
      <c r="BO136">
        <v>1</v>
      </c>
      <c r="BP136" s="2">
        <v>-1</v>
      </c>
      <c r="BQ136" t="s">
        <v>189</v>
      </c>
      <c r="BR136">
        <v>244316</v>
      </c>
      <c r="BS136" t="b">
        <v>0</v>
      </c>
      <c r="BT136" t="b">
        <v>1</v>
      </c>
      <c r="BU136">
        <v>300</v>
      </c>
      <c r="BV136" t="s">
        <v>39</v>
      </c>
      <c r="BW136">
        <v>0</v>
      </c>
      <c r="BX136" t="s">
        <v>166</v>
      </c>
      <c r="BY136" t="b">
        <v>0</v>
      </c>
      <c r="BZ136" t="s">
        <v>216</v>
      </c>
      <c r="CA136" t="s">
        <v>213</v>
      </c>
      <c r="CB136" t="b">
        <v>1</v>
      </c>
    </row>
    <row r="137" spans="13:80" x14ac:dyDescent="0.2">
      <c r="M137" t="s">
        <v>40</v>
      </c>
      <c r="N137" s="1">
        <v>44246.604722222219</v>
      </c>
      <c r="O137">
        <v>7862403</v>
      </c>
      <c r="P137">
        <v>29276</v>
      </c>
      <c r="Q137">
        <v>3.7235</v>
      </c>
      <c r="R137">
        <v>15250</v>
      </c>
      <c r="S137">
        <v>1.9396</v>
      </c>
      <c r="T137">
        <v>305</v>
      </c>
      <c r="U137">
        <v>3.8800000000000001E-2</v>
      </c>
      <c r="V137">
        <v>828357</v>
      </c>
      <c r="W137">
        <v>105.3567</v>
      </c>
      <c r="X137">
        <v>848280</v>
      </c>
      <c r="Y137">
        <v>107.8907</v>
      </c>
      <c r="Z137">
        <v>120000</v>
      </c>
      <c r="AA137">
        <v>0</v>
      </c>
      <c r="AB137" s="2">
        <v>10303</v>
      </c>
      <c r="AC137" s="2">
        <v>3992</v>
      </c>
      <c r="AD137" s="2">
        <v>95287</v>
      </c>
      <c r="AE137" s="2">
        <v>10755</v>
      </c>
      <c r="AF137" s="2">
        <v>4291</v>
      </c>
      <c r="AG137" s="2">
        <v>39668</v>
      </c>
      <c r="AH137" s="2">
        <v>9245</v>
      </c>
      <c r="AI137" s="2">
        <v>6799</v>
      </c>
      <c r="AJ137" s="2">
        <v>174189</v>
      </c>
      <c r="AK137">
        <v>0</v>
      </c>
      <c r="AL137" s="2">
        <v>0</v>
      </c>
      <c r="AM137">
        <v>0</v>
      </c>
      <c r="AN137">
        <v>0</v>
      </c>
      <c r="AO137">
        <v>694.47</v>
      </c>
      <c r="AP137">
        <v>19650.169999999998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5</v>
      </c>
      <c r="BC137">
        <v>5</v>
      </c>
      <c r="BD137">
        <v>250</v>
      </c>
      <c r="BE137">
        <v>7920</v>
      </c>
      <c r="BF137">
        <v>60</v>
      </c>
      <c r="BG137">
        <v>20</v>
      </c>
      <c r="BH137" s="2">
        <v>20</v>
      </c>
      <c r="BI137" t="b">
        <v>1</v>
      </c>
      <c r="BJ137">
        <v>3</v>
      </c>
      <c r="BK137">
        <v>0</v>
      </c>
      <c r="BM137" t="b">
        <v>1</v>
      </c>
      <c r="BN137" t="b">
        <v>0</v>
      </c>
      <c r="BO137">
        <v>7</v>
      </c>
      <c r="BP137" s="2">
        <v>450000</v>
      </c>
      <c r="BQ137" t="s">
        <v>189</v>
      </c>
      <c r="BR137">
        <v>244316</v>
      </c>
      <c r="BS137" t="b">
        <v>0</v>
      </c>
      <c r="BT137" t="b">
        <v>0</v>
      </c>
      <c r="BU137">
        <v>300</v>
      </c>
      <c r="BV137" t="s">
        <v>39</v>
      </c>
      <c r="BW137">
        <v>0</v>
      </c>
      <c r="BX137" t="s">
        <v>190</v>
      </c>
      <c r="BY137" t="b">
        <v>0</v>
      </c>
      <c r="CA137" t="s">
        <v>165</v>
      </c>
      <c r="CB137" t="b">
        <v>0</v>
      </c>
    </row>
    <row r="138" spans="13:80" x14ac:dyDescent="0.2">
      <c r="M138" t="s">
        <v>40</v>
      </c>
      <c r="N138" s="1">
        <v>44246.58425925926</v>
      </c>
      <c r="O138">
        <v>9621080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120000</v>
      </c>
      <c r="AA138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>
        <v>0</v>
      </c>
      <c r="AL138" s="2">
        <v>0</v>
      </c>
      <c r="AM138">
        <v>0</v>
      </c>
      <c r="AN138">
        <v>0</v>
      </c>
      <c r="AO138">
        <v>0</v>
      </c>
      <c r="AP138">
        <v>0</v>
      </c>
      <c r="AQ138">
        <v>100</v>
      </c>
      <c r="AR138">
        <v>619</v>
      </c>
      <c r="AS138">
        <v>6.4299999999999996E-2</v>
      </c>
      <c r="AT138">
        <v>141468</v>
      </c>
      <c r="AU138">
        <v>14.704000000000001</v>
      </c>
      <c r="AV138">
        <v>31962</v>
      </c>
      <c r="AW138">
        <v>3.3220999999999998</v>
      </c>
      <c r="AX138">
        <v>12994</v>
      </c>
      <c r="AY138">
        <v>3936</v>
      </c>
      <c r="AZ138">
        <v>647683</v>
      </c>
      <c r="BA138">
        <v>2745.4</v>
      </c>
      <c r="BB138">
        <v>1</v>
      </c>
      <c r="BC138">
        <v>10</v>
      </c>
      <c r="BD138">
        <v>-1</v>
      </c>
      <c r="BE138">
        <v>-1</v>
      </c>
      <c r="BF138">
        <v>60</v>
      </c>
      <c r="BG138">
        <v>20</v>
      </c>
      <c r="BH138" s="2">
        <v>20</v>
      </c>
      <c r="BI138" t="b">
        <v>1</v>
      </c>
      <c r="BJ138">
        <v>3</v>
      </c>
      <c r="BK138">
        <v>0</v>
      </c>
      <c r="BM138" t="b">
        <v>1</v>
      </c>
      <c r="BN138" t="b">
        <v>0</v>
      </c>
      <c r="BO138">
        <v>1</v>
      </c>
      <c r="BP138" s="2">
        <v>-1</v>
      </c>
      <c r="BQ138" t="s">
        <v>189</v>
      </c>
      <c r="BR138">
        <v>244316</v>
      </c>
      <c r="BS138" t="b">
        <v>0</v>
      </c>
      <c r="BT138" t="b">
        <v>1</v>
      </c>
      <c r="BU138">
        <v>300</v>
      </c>
      <c r="BV138" t="s">
        <v>39</v>
      </c>
      <c r="BW138">
        <v>0</v>
      </c>
      <c r="BX138" t="s">
        <v>166</v>
      </c>
      <c r="BY138" t="b">
        <v>0</v>
      </c>
      <c r="BZ138" t="s">
        <v>216</v>
      </c>
      <c r="CA138" t="s">
        <v>213</v>
      </c>
      <c r="CB138" t="b">
        <v>1</v>
      </c>
    </row>
  </sheetData>
  <conditionalFormatting sqref="B16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</vt:i4>
      </vt:variant>
    </vt:vector>
  </HeadingPairs>
  <TitlesOfParts>
    <vt:vector size="27" baseType="lpstr">
      <vt:lpstr>Model</vt:lpstr>
      <vt:lpstr>Model Guide</vt:lpstr>
      <vt:lpstr>etcd-driver-template</vt:lpstr>
      <vt:lpstr>knowledge transfer</vt:lpstr>
      <vt:lpstr>'etcd-driver-template'!churn_results.2020_09_08_14_42</vt:lpstr>
      <vt:lpstr>'knowledge transfer'!churn_results.2020_09_08_14_42</vt:lpstr>
      <vt:lpstr>'etcd-driver-template'!churn_results.2020_09_08_14_42_1</vt:lpstr>
      <vt:lpstr>'knowledge transfer'!churn_results.2020_09_08_14_42_1</vt:lpstr>
      <vt:lpstr>ClientPods</vt:lpstr>
      <vt:lpstr>DeleteMeanMicroseconds</vt:lpstr>
      <vt:lpstr>DeleteMeanSeconds</vt:lpstr>
      <vt:lpstr>EetcdDBSizeGiB</vt:lpstr>
      <vt:lpstr>GetLevel</vt:lpstr>
      <vt:lpstr>GetMeanMicroseconds</vt:lpstr>
      <vt:lpstr>GetMeanSeconds</vt:lpstr>
      <vt:lpstr>KeySize</vt:lpstr>
      <vt:lpstr>Levels</vt:lpstr>
      <vt:lpstr>PrefixGetMeanMicroseconds</vt:lpstr>
      <vt:lpstr>PrefixGetMeanSeconds</vt:lpstr>
      <vt:lpstr>PutMeanMicroseconds</vt:lpstr>
      <vt:lpstr>PutMeanSeconds</vt:lpstr>
      <vt:lpstr>SizeIncludesKey</vt:lpstr>
      <vt:lpstr>ValueAndKeySize</vt:lpstr>
      <vt:lpstr>ValueSizeAverage</vt:lpstr>
      <vt:lpstr>WatchCount</vt:lpstr>
      <vt:lpstr>WatchLevel</vt:lpstr>
      <vt:lpstr>WatchPrefixGetInterval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Rockwell</dc:creator>
  <cp:lastModifiedBy>Nate Rockwell</cp:lastModifiedBy>
  <dcterms:created xsi:type="dcterms:W3CDTF">2019-12-02T13:45:33Z</dcterms:created>
  <dcterms:modified xsi:type="dcterms:W3CDTF">2021-02-26T14:45:39Z</dcterms:modified>
</cp:coreProperties>
</file>