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eb\Desktop\Uni_Tuebingen\Masterstudium\4. Semester\Master Thesis\Master Thesis - Empirical Simulation\"/>
    </mc:Choice>
  </mc:AlternateContent>
  <xr:revisionPtr revIDLastSave="0" documentId="13_ncr:1_{09359B86-2C03-4BA4-875F-871AE9B53AA9}" xr6:coauthVersionLast="47" xr6:coauthVersionMax="47" xr10:uidLastSave="{00000000-0000-0000-0000-000000000000}"/>
  <bookViews>
    <workbookView xWindow="22920" yWindow="-120" windowWidth="29040" windowHeight="17520" firstSheet="2" activeTab="6" xr2:uid="{704C17CB-2A7E-4BED-8177-98A1DF3EAB98}"/>
  </bookViews>
  <sheets>
    <sheet name="Income_Statement" sheetId="3" r:id="rId1"/>
    <sheet name="Sales_per_Division" sheetId="6" r:id="rId2"/>
    <sheet name="OpIncome_per_Division" sheetId="10" r:id="rId3"/>
    <sheet name="Sales_per_Region" sheetId="2" r:id="rId4"/>
    <sheet name="Division_Region_Matrix_Sales" sheetId="4" r:id="rId5"/>
    <sheet name="External Parameters" sheetId="9" r:id="rId6"/>
    <sheet name="External Parameters Changes" sheetId="11" r:id="rId7"/>
    <sheet name="Matching Tabelle" sheetId="5" r:id="rId8"/>
    <sheet name="Sales_per_Division (bef_Match)" sheetId="1" state="hidden" r:id="rId9"/>
    <sheet name="Division_Region_bef_Match" sheetId="7" state="hidden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1" i="7" l="1"/>
  <c r="H140" i="7"/>
  <c r="G140" i="7"/>
  <c r="F140" i="7"/>
  <c r="E140" i="7"/>
  <c r="D140" i="7"/>
  <c r="C140" i="7"/>
  <c r="G139" i="7"/>
  <c r="F139" i="7"/>
  <c r="E139" i="7"/>
  <c r="H139" i="7" s="1"/>
  <c r="D139" i="7"/>
  <c r="C139" i="7"/>
  <c r="G138" i="7"/>
  <c r="F138" i="7"/>
  <c r="E138" i="7"/>
  <c r="D138" i="7"/>
  <c r="C138" i="7"/>
  <c r="H138" i="7" s="1"/>
  <c r="G137" i="7"/>
  <c r="G136" i="7"/>
  <c r="F136" i="7"/>
  <c r="E136" i="7"/>
  <c r="D136" i="7"/>
  <c r="C136" i="7"/>
  <c r="H136" i="7" s="1"/>
  <c r="G135" i="7"/>
  <c r="G134" i="7"/>
  <c r="G133" i="7"/>
  <c r="F133" i="7"/>
  <c r="E133" i="7"/>
  <c r="D133" i="7"/>
  <c r="C133" i="7"/>
  <c r="H133" i="7" s="1"/>
  <c r="H132" i="7"/>
  <c r="G132" i="7"/>
  <c r="F132" i="7"/>
  <c r="E132" i="7"/>
  <c r="D132" i="7"/>
  <c r="C132" i="7"/>
  <c r="G131" i="7"/>
  <c r="F131" i="7"/>
  <c r="E131" i="7"/>
  <c r="H131" i="7" s="1"/>
  <c r="D131" i="7"/>
  <c r="C131" i="7"/>
  <c r="G130" i="7"/>
  <c r="G129" i="7"/>
  <c r="F129" i="7"/>
  <c r="E129" i="7"/>
  <c r="D129" i="7"/>
  <c r="C129" i="7"/>
  <c r="G128" i="7"/>
  <c r="G127" i="7"/>
  <c r="G126" i="7"/>
  <c r="F126" i="7"/>
  <c r="E126" i="7"/>
  <c r="D126" i="7"/>
  <c r="C126" i="7"/>
  <c r="H126" i="7" s="1"/>
  <c r="G125" i="7"/>
  <c r="F125" i="7"/>
  <c r="E125" i="7"/>
  <c r="D125" i="7"/>
  <c r="C125" i="7"/>
  <c r="H125" i="7" s="1"/>
  <c r="H124" i="7"/>
  <c r="G124" i="7"/>
  <c r="F124" i="7"/>
  <c r="E124" i="7"/>
  <c r="D124" i="7"/>
  <c r="C124" i="7"/>
  <c r="G123" i="7"/>
  <c r="G122" i="7"/>
  <c r="F122" i="7"/>
  <c r="E122" i="7"/>
  <c r="D122" i="7"/>
  <c r="C122" i="7"/>
  <c r="G121" i="7"/>
  <c r="G120" i="7"/>
  <c r="G119" i="7"/>
  <c r="F119" i="7"/>
  <c r="E119" i="7"/>
  <c r="H119" i="7" s="1"/>
  <c r="D119" i="7"/>
  <c r="C119" i="7"/>
  <c r="G118" i="7"/>
  <c r="F118" i="7"/>
  <c r="E118" i="7"/>
  <c r="D118" i="7"/>
  <c r="C118" i="7"/>
  <c r="H118" i="7" s="1"/>
  <c r="G117" i="7"/>
  <c r="F117" i="7"/>
  <c r="E117" i="7"/>
  <c r="D117" i="7"/>
  <c r="C117" i="7"/>
  <c r="H117" i="7" s="1"/>
  <c r="G116" i="7"/>
  <c r="G115" i="7"/>
  <c r="F115" i="7"/>
  <c r="E115" i="7"/>
  <c r="D115" i="7"/>
  <c r="C115" i="7"/>
  <c r="G114" i="7"/>
  <c r="G113" i="7"/>
  <c r="H112" i="7"/>
  <c r="G112" i="7"/>
  <c r="F112" i="7"/>
  <c r="E112" i="7"/>
  <c r="D112" i="7"/>
  <c r="C112" i="7"/>
  <c r="G111" i="7"/>
  <c r="F111" i="7"/>
  <c r="E111" i="7"/>
  <c r="H111" i="7" s="1"/>
  <c r="D111" i="7"/>
  <c r="C111" i="7"/>
  <c r="G110" i="7"/>
  <c r="F110" i="7"/>
  <c r="E110" i="7"/>
  <c r="D110" i="7"/>
  <c r="C110" i="7"/>
  <c r="H110" i="7" s="1"/>
  <c r="G109" i="7"/>
  <c r="G108" i="7"/>
  <c r="F108" i="7"/>
  <c r="E108" i="7"/>
  <c r="D108" i="7"/>
  <c r="C108" i="7"/>
  <c r="H108" i="7" s="1"/>
  <c r="G107" i="7"/>
  <c r="G106" i="7"/>
  <c r="G105" i="7"/>
  <c r="F105" i="7"/>
  <c r="E105" i="7"/>
  <c r="D105" i="7"/>
  <c r="C105" i="7"/>
  <c r="H105" i="7" s="1"/>
  <c r="H104" i="7"/>
  <c r="G104" i="7"/>
  <c r="F104" i="7"/>
  <c r="E104" i="7"/>
  <c r="D104" i="7"/>
  <c r="C104" i="7"/>
  <c r="G103" i="7"/>
  <c r="F103" i="7"/>
  <c r="E103" i="7"/>
  <c r="H103" i="7" s="1"/>
  <c r="D103" i="7"/>
  <c r="C103" i="7"/>
  <c r="G102" i="7"/>
  <c r="G101" i="7"/>
  <c r="F101" i="7"/>
  <c r="E101" i="7"/>
  <c r="D101" i="7"/>
  <c r="C101" i="7"/>
  <c r="G100" i="7"/>
  <c r="G99" i="7"/>
  <c r="G98" i="7"/>
  <c r="F98" i="7"/>
  <c r="E98" i="7"/>
  <c r="D98" i="7"/>
  <c r="C98" i="7"/>
  <c r="H98" i="7" s="1"/>
  <c r="G97" i="7"/>
  <c r="F97" i="7"/>
  <c r="E97" i="7"/>
  <c r="D97" i="7"/>
  <c r="C97" i="7"/>
  <c r="H97" i="7" s="1"/>
  <c r="H96" i="7"/>
  <c r="G96" i="7"/>
  <c r="F96" i="7"/>
  <c r="E96" i="7"/>
  <c r="D96" i="7"/>
  <c r="C96" i="7"/>
  <c r="G95" i="7"/>
  <c r="G94" i="7"/>
  <c r="F94" i="7"/>
  <c r="E94" i="7"/>
  <c r="D94" i="7"/>
  <c r="C94" i="7"/>
  <c r="H94" i="7" s="1"/>
  <c r="G93" i="7"/>
  <c r="G92" i="7"/>
  <c r="G91" i="7"/>
  <c r="F91" i="7"/>
  <c r="E91" i="7"/>
  <c r="H91" i="7" s="1"/>
  <c r="D91" i="7"/>
  <c r="C91" i="7"/>
  <c r="G90" i="7"/>
  <c r="F90" i="7"/>
  <c r="E90" i="7"/>
  <c r="D90" i="7"/>
  <c r="C90" i="7"/>
  <c r="H90" i="7" s="1"/>
  <c r="G89" i="7"/>
  <c r="F89" i="7"/>
  <c r="E89" i="7"/>
  <c r="D89" i="7"/>
  <c r="C89" i="7"/>
  <c r="H89" i="7" s="1"/>
  <c r="G88" i="7"/>
  <c r="G87" i="7"/>
  <c r="F87" i="7"/>
  <c r="E87" i="7"/>
  <c r="D87" i="7"/>
  <c r="C87" i="7"/>
  <c r="G86" i="7"/>
  <c r="F15" i="5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S5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S6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T7" i="1"/>
  <c r="D6" i="5"/>
  <c r="D17" i="5"/>
  <c r="D38" i="5"/>
  <c r="D37" i="5"/>
  <c r="D31" i="5"/>
  <c r="D32" i="5"/>
  <c r="D33" i="5"/>
  <c r="D34" i="5"/>
  <c r="D30" i="5"/>
  <c r="D27" i="5"/>
  <c r="D26" i="5"/>
  <c r="D25" i="5"/>
  <c r="D24" i="5"/>
  <c r="D23" i="5"/>
  <c r="D22" i="5"/>
  <c r="D21" i="5"/>
  <c r="D18" i="5"/>
  <c r="D16" i="5"/>
  <c r="D15" i="5"/>
  <c r="D10" i="5"/>
  <c r="D9" i="5"/>
  <c r="D8" i="5"/>
  <c r="D5" i="5"/>
  <c r="D4" i="5"/>
  <c r="D13" i="5"/>
  <c r="D7" i="5"/>
  <c r="D14" i="5"/>
  <c r="D3" i="5"/>
  <c r="C35" i="5"/>
  <c r="C28" i="5"/>
  <c r="C19" i="5"/>
  <c r="C11" i="5"/>
  <c r="I38" i="5"/>
  <c r="F31" i="5" s="1"/>
  <c r="I31" i="5"/>
  <c r="F6" i="5" s="1"/>
  <c r="G6" i="5" s="1"/>
  <c r="I26" i="5"/>
  <c r="F24" i="5" s="1"/>
  <c r="I18" i="5"/>
  <c r="F17" i="5" s="1"/>
  <c r="I11" i="5"/>
  <c r="F7" i="5" s="1"/>
  <c r="AJ37" i="1"/>
  <c r="AJ36" i="1"/>
  <c r="AJ35" i="1"/>
  <c r="AJ34" i="1"/>
  <c r="AJ33" i="1"/>
  <c r="AJ32" i="1"/>
  <c r="AJ31" i="1"/>
  <c r="AJ30" i="1"/>
  <c r="AF37" i="1"/>
  <c r="AF36" i="1"/>
  <c r="AF35" i="1"/>
  <c r="AF34" i="1"/>
  <c r="AF33" i="1"/>
  <c r="AF31" i="1"/>
  <c r="AF30" i="1"/>
  <c r="AF32" i="1"/>
  <c r="AB34" i="1"/>
  <c r="X34" i="1"/>
  <c r="AB37" i="1"/>
  <c r="AB36" i="1"/>
  <c r="AB35" i="1"/>
  <c r="AB33" i="1"/>
  <c r="AB32" i="1"/>
  <c r="AB31" i="1"/>
  <c r="AB30" i="1"/>
  <c r="X37" i="1"/>
  <c r="X36" i="1"/>
  <c r="X35" i="1"/>
  <c r="X33" i="1"/>
  <c r="X32" i="1"/>
  <c r="X31" i="1"/>
  <c r="X30" i="1"/>
  <c r="T37" i="1"/>
  <c r="T36" i="1"/>
  <c r="T35" i="1"/>
  <c r="T34" i="1"/>
  <c r="T33" i="1"/>
  <c r="T32" i="1"/>
  <c r="T31" i="1"/>
  <c r="T30" i="1"/>
  <c r="P37" i="1"/>
  <c r="P36" i="1"/>
  <c r="P35" i="1"/>
  <c r="P34" i="1"/>
  <c r="P33" i="1"/>
  <c r="P32" i="1"/>
  <c r="P31" i="1"/>
  <c r="P30" i="1"/>
  <c r="L28" i="1"/>
  <c r="L27" i="1"/>
  <c r="L26" i="1"/>
  <c r="L25" i="1"/>
  <c r="L24" i="1"/>
  <c r="L23" i="1"/>
  <c r="L22" i="1"/>
  <c r="H28" i="1"/>
  <c r="H27" i="1"/>
  <c r="H26" i="1"/>
  <c r="H25" i="1"/>
  <c r="H24" i="1"/>
  <c r="H23" i="1"/>
  <c r="H22" i="1"/>
  <c r="D28" i="1"/>
  <c r="D27" i="1"/>
  <c r="D26" i="1"/>
  <c r="D25" i="1"/>
  <c r="D24" i="1"/>
  <c r="D23" i="1"/>
  <c r="D22" i="1"/>
  <c r="AJ17" i="1"/>
  <c r="AJ16" i="1"/>
  <c r="AJ15" i="1"/>
  <c r="AJ14" i="1"/>
  <c r="AJ13" i="1"/>
  <c r="AJ12" i="1"/>
  <c r="AJ11" i="1"/>
  <c r="AJ10" i="1"/>
  <c r="AF17" i="1"/>
  <c r="AF16" i="1"/>
  <c r="AF15" i="1"/>
  <c r="AF14" i="1"/>
  <c r="AF13" i="1"/>
  <c r="AF12" i="1"/>
  <c r="AF11" i="1"/>
  <c r="AF10" i="1"/>
  <c r="AB17" i="1"/>
  <c r="AB16" i="1"/>
  <c r="AB15" i="1"/>
  <c r="AB14" i="1"/>
  <c r="AB13" i="1"/>
  <c r="AB12" i="1"/>
  <c r="AB11" i="1"/>
  <c r="AB10" i="1"/>
  <c r="X17" i="1"/>
  <c r="X16" i="1"/>
  <c r="X15" i="1"/>
  <c r="X14" i="1"/>
  <c r="X13" i="1"/>
  <c r="X12" i="1"/>
  <c r="X11" i="1"/>
  <c r="X10" i="1"/>
  <c r="D8" i="1"/>
  <c r="D7" i="1"/>
  <c r="D6" i="1"/>
  <c r="D5" i="1"/>
  <c r="D4" i="1"/>
  <c r="D3" i="1"/>
  <c r="D2" i="1"/>
  <c r="P7" i="1"/>
  <c r="P5" i="1"/>
  <c r="P4" i="1"/>
  <c r="P3" i="1"/>
  <c r="P2" i="1"/>
  <c r="L7" i="1"/>
  <c r="L5" i="1"/>
  <c r="L3" i="1"/>
  <c r="L2" i="1"/>
  <c r="H7" i="1"/>
  <c r="H6" i="1"/>
  <c r="H5" i="1"/>
  <c r="H4" i="1"/>
  <c r="H3" i="1"/>
  <c r="H2" i="1"/>
  <c r="P8" i="1"/>
  <c r="P6" i="1"/>
  <c r="L8" i="1"/>
  <c r="L6" i="1"/>
  <c r="L4" i="1"/>
  <c r="H115" i="7" l="1"/>
  <c r="F3" i="5"/>
  <c r="F13" i="5"/>
  <c r="F9" i="5"/>
  <c r="F14" i="5"/>
  <c r="C39" i="5"/>
  <c r="F26" i="5"/>
  <c r="G26" i="5" s="1"/>
  <c r="F8" i="5"/>
  <c r="F4" i="5"/>
  <c r="G3" i="5" s="1"/>
  <c r="H101" i="7"/>
  <c r="F5" i="5"/>
  <c r="H87" i="7"/>
  <c r="H122" i="7"/>
  <c r="H129" i="7"/>
  <c r="F23" i="5"/>
  <c r="F16" i="5"/>
  <c r="F21" i="5"/>
  <c r="F33" i="5"/>
  <c r="F22" i="5"/>
  <c r="F32" i="5"/>
  <c r="F30" i="5"/>
  <c r="F34" i="5"/>
  <c r="F25" i="5"/>
  <c r="I42" i="5"/>
  <c r="C100" i="7" l="1"/>
  <c r="C93" i="7"/>
  <c r="C86" i="7"/>
  <c r="E135" i="7"/>
  <c r="F128" i="7"/>
  <c r="F121" i="7"/>
  <c r="F135" i="7"/>
  <c r="F114" i="7"/>
  <c r="F120" i="7" s="1"/>
  <c r="D135" i="7"/>
  <c r="E128" i="7"/>
  <c r="E121" i="7"/>
  <c r="E114" i="7"/>
  <c r="F107" i="7"/>
  <c r="C135" i="7"/>
  <c r="D128" i="7"/>
  <c r="D121" i="7"/>
  <c r="D127" i="7" s="1"/>
  <c r="D114" i="7"/>
  <c r="E107" i="7"/>
  <c r="F100" i="7"/>
  <c r="F93" i="7"/>
  <c r="F86" i="7"/>
  <c r="C128" i="7"/>
  <c r="C121" i="7"/>
  <c r="C114" i="7"/>
  <c r="D107" i="7"/>
  <c r="E100" i="7"/>
  <c r="E93" i="7"/>
  <c r="E86" i="7"/>
  <c r="C107" i="7"/>
  <c r="D100" i="7"/>
  <c r="D93" i="7"/>
  <c r="D99" i="7" s="1"/>
  <c r="D86" i="7"/>
  <c r="D92" i="7" s="1"/>
  <c r="F137" i="7"/>
  <c r="E137" i="7"/>
  <c r="F130" i="7"/>
  <c r="E130" i="7"/>
  <c r="E134" i="7" s="1"/>
  <c r="F123" i="7"/>
  <c r="F116" i="7"/>
  <c r="F109" i="7"/>
  <c r="E109" i="7"/>
  <c r="F102" i="7"/>
  <c r="C130" i="7"/>
  <c r="D123" i="7"/>
  <c r="D116" i="7"/>
  <c r="D109" i="7"/>
  <c r="E102" i="7"/>
  <c r="E106" i="7" s="1"/>
  <c r="F95" i="7"/>
  <c r="F99" i="7" s="1"/>
  <c r="D137" i="7"/>
  <c r="C137" i="7"/>
  <c r="D130" i="7"/>
  <c r="E123" i="7"/>
  <c r="E127" i="7" s="1"/>
  <c r="E116" i="7"/>
  <c r="F88" i="7"/>
  <c r="C123" i="7"/>
  <c r="H123" i="7" s="1"/>
  <c r="C116" i="7"/>
  <c r="H116" i="7" s="1"/>
  <c r="C109" i="7"/>
  <c r="H109" i="7" s="1"/>
  <c r="D102" i="7"/>
  <c r="E95" i="7"/>
  <c r="E88" i="7"/>
  <c r="C102" i="7"/>
  <c r="D95" i="7"/>
  <c r="D88" i="7"/>
  <c r="C95" i="7"/>
  <c r="H95" i="7" s="1"/>
  <c r="C88" i="7"/>
  <c r="H88" i="7" s="1"/>
  <c r="F141" i="7" l="1"/>
  <c r="E99" i="7"/>
  <c r="H121" i="7"/>
  <c r="C127" i="7"/>
  <c r="H128" i="7"/>
  <c r="F127" i="7"/>
  <c r="H107" i="7"/>
  <c r="C113" i="7"/>
  <c r="F92" i="7"/>
  <c r="F113" i="7"/>
  <c r="F134" i="7"/>
  <c r="H102" i="7"/>
  <c r="E92" i="7"/>
  <c r="E120" i="7"/>
  <c r="E141" i="7"/>
  <c r="H135" i="7"/>
  <c r="C141" i="7"/>
  <c r="F106" i="7"/>
  <c r="C92" i="7"/>
  <c r="E113" i="7"/>
  <c r="H93" i="7"/>
  <c r="C99" i="7"/>
  <c r="H99" i="7" s="1"/>
  <c r="H114" i="7"/>
  <c r="C120" i="7"/>
  <c r="H120" i="7" s="1"/>
  <c r="D134" i="7"/>
  <c r="C134" i="7"/>
  <c r="H130" i="7"/>
  <c r="D106" i="7"/>
  <c r="H137" i="7"/>
  <c r="D113" i="7"/>
  <c r="D120" i="7"/>
  <c r="D141" i="7"/>
  <c r="H100" i="7"/>
  <c r="C106" i="7"/>
  <c r="H106" i="7" l="1"/>
  <c r="H134" i="7"/>
  <c r="H141" i="7"/>
  <c r="H113" i="7"/>
  <c r="H127" i="7"/>
  <c r="H9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tc={F6251FB9-945E-4FD6-85AF-3BF659F40912}</author>
    <author>tc={91E0F102-69C9-44F6-BBEB-20DD5D52D395}</author>
  </authors>
  <commentList>
    <comment ref="A7" authorId="0" shapeId="0" xr:uid="{F6251FB9-945E-4FD6-85AF-3BF659F4091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Since 2022, no longer bual credits are tracked for certain sales and related operating income</t>
      </text>
    </comment>
    <comment ref="A27" authorId="1" shapeId="0" xr:uid="{91E0F102-69C9-44F6-BBEB-20DD5D52D39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Since 2022, no longer bual credits are tracked for certain sales and related operating income</t>
      </text>
    </comment>
  </commentList>
</comments>
</file>

<file path=xl/sharedStrings.xml><?xml version="1.0" encoding="utf-8"?>
<sst xmlns="http://schemas.openxmlformats.org/spreadsheetml/2006/main" count="1154" uniqueCount="168">
  <si>
    <t>Net Sales (Millions)</t>
  </si>
  <si>
    <t>Total Safety and Industrial Business Segment</t>
  </si>
  <si>
    <t>Total Health Care Business Group</t>
  </si>
  <si>
    <t>Total Consumer Business Group</t>
  </si>
  <si>
    <t>Corporate and Unallocated</t>
  </si>
  <si>
    <t>Total Company</t>
  </si>
  <si>
    <t>Q2_2022</t>
  </si>
  <si>
    <t>Q1_2022</t>
  </si>
  <si>
    <t>Q4_2021</t>
  </si>
  <si>
    <t>Q3_2021</t>
  </si>
  <si>
    <t>Americas</t>
  </si>
  <si>
    <t>Worldwide</t>
  </si>
  <si>
    <t>Asia Pacific</t>
  </si>
  <si>
    <t>Europe, Middle East &amp; Africa</t>
  </si>
  <si>
    <t>Q2_2021</t>
  </si>
  <si>
    <t>Q1_2021</t>
  </si>
  <si>
    <t>Q4_2020</t>
  </si>
  <si>
    <t>Q3_2020</t>
  </si>
  <si>
    <t>Q2_2020</t>
  </si>
  <si>
    <t>Q1_2020</t>
  </si>
  <si>
    <t>Q4_2019</t>
  </si>
  <si>
    <t>Q3_2019</t>
  </si>
  <si>
    <t>Q2_2019</t>
  </si>
  <si>
    <t>Q1_2019</t>
  </si>
  <si>
    <t>Q4_2018</t>
  </si>
  <si>
    <t>Q3_2018</t>
  </si>
  <si>
    <t>Q2_2018</t>
  </si>
  <si>
    <t>Q1_2018</t>
  </si>
  <si>
    <t>Q4_2017</t>
  </si>
  <si>
    <t>Q3_2017</t>
  </si>
  <si>
    <t>Q2_2017</t>
  </si>
  <si>
    <t>Q1_2017</t>
  </si>
  <si>
    <t>Q4_2016</t>
  </si>
  <si>
    <t>Q3_2016</t>
  </si>
  <si>
    <t>Q2_2016</t>
  </si>
  <si>
    <t>Q1_2016</t>
  </si>
  <si>
    <t>Q4_2015</t>
  </si>
  <si>
    <t>Q3_2015</t>
  </si>
  <si>
    <t>Q2_2015</t>
  </si>
  <si>
    <t>Q1_2015</t>
  </si>
  <si>
    <t>Q4_2014</t>
  </si>
  <si>
    <t>Q3_2014</t>
  </si>
  <si>
    <t>Q2_2014</t>
  </si>
  <si>
    <t>Q1_2014</t>
  </si>
  <si>
    <t>Q4_2013</t>
  </si>
  <si>
    <t>Q3_2013</t>
  </si>
  <si>
    <t>Q2_2013</t>
  </si>
  <si>
    <t>Q1_2013</t>
  </si>
  <si>
    <t>Total Transportation and Electronics Business Segment</t>
  </si>
  <si>
    <t>Other Unallocated</t>
  </si>
  <si>
    <t>Net sales</t>
  </si>
  <si>
    <t>Cost of sales</t>
  </si>
  <si>
    <t>Selling, general and administrative expenses</t>
  </si>
  <si>
    <t>Research, development and related expenses</t>
  </si>
  <si>
    <t>Gain on sale of businesses</t>
  </si>
  <si>
    <t>Total operating expenses</t>
  </si>
  <si>
    <t>Operating income</t>
  </si>
  <si>
    <t>Other expense (income), net</t>
  </si>
  <si>
    <t>Income before income taxes</t>
  </si>
  <si>
    <t>Provision for income taxes</t>
  </si>
  <si>
    <t>Income of consolidated group</t>
  </si>
  <si>
    <t>Net income including noncontrolling interest</t>
  </si>
  <si>
    <t>Net income attributable to 3M</t>
  </si>
  <si>
    <t>Elimination of Dual Credit</t>
  </si>
  <si>
    <t>Income (loss) from unconsolidated subsidiaries, net of taxes</t>
  </si>
  <si>
    <t>Less: Net income (loss) attributable to noncontrolling interest</t>
  </si>
  <si>
    <t>Europe, Middle East, Africa</t>
  </si>
  <si>
    <t>Safety &amp; Industrial</t>
  </si>
  <si>
    <t>Transportation and Electronics</t>
  </si>
  <si>
    <t>Health Care</t>
  </si>
  <si>
    <t>Consumer</t>
  </si>
  <si>
    <t>Total Industrial Business Group</t>
  </si>
  <si>
    <t>Total Safety and Graphics Business Group</t>
  </si>
  <si>
    <t>Total Electronics and Energy Business Group</t>
  </si>
  <si>
    <t>Operating Income</t>
  </si>
  <si>
    <t>Net Sales</t>
  </si>
  <si>
    <t>Period</t>
  </si>
  <si>
    <t>Abrasives</t>
  </si>
  <si>
    <t>Adhesives and Tapes</t>
  </si>
  <si>
    <t>Automotive Aftermarket</t>
  </si>
  <si>
    <t>Closure and Masking Systems</t>
  </si>
  <si>
    <t>Electrical Markets</t>
  </si>
  <si>
    <t>Personal Safety</t>
  </si>
  <si>
    <t>Roofing Granules</t>
  </si>
  <si>
    <t>Other Safety and Industrial</t>
  </si>
  <si>
    <t>Advanced Materials</t>
  </si>
  <si>
    <t>Automotive and Aerospace</t>
  </si>
  <si>
    <t>Commercial Solutions</t>
  </si>
  <si>
    <t>Electronics</t>
  </si>
  <si>
    <t>Transportation Safety</t>
  </si>
  <si>
    <t>Other Transportation and Electronics</t>
  </si>
  <si>
    <t>Drug Delivery</t>
  </si>
  <si>
    <t>Food Safety</t>
  </si>
  <si>
    <t>Health Information Systems</t>
  </si>
  <si>
    <t>Medical Solutions</t>
  </si>
  <si>
    <t>Oral Care</t>
  </si>
  <si>
    <t>Separation and Purification Sciences</t>
  </si>
  <si>
    <t>Other Health Care</t>
  </si>
  <si>
    <t>Consumer Health Care</t>
  </si>
  <si>
    <t>Home Care</t>
  </si>
  <si>
    <t>Home Improvement</t>
  </si>
  <si>
    <t>Stationary and Office</t>
  </si>
  <si>
    <t>Other Consumer</t>
  </si>
  <si>
    <t>Industrial Adhesives and Tapes</t>
  </si>
  <si>
    <t>Separation and Purification</t>
  </si>
  <si>
    <t>Other Industrial</t>
  </si>
  <si>
    <t>Other Safety and Graphics</t>
  </si>
  <si>
    <t>Energy</t>
  </si>
  <si>
    <t>Other Electronics and Energy</t>
  </si>
  <si>
    <t>Safety/Graphics</t>
  </si>
  <si>
    <t>Electronics/Energy</t>
  </si>
  <si>
    <t>Industrial Business</t>
  </si>
  <si>
    <t>New Structure (Q1_2019)</t>
  </si>
  <si>
    <t>Old Structure (Q1_2019)</t>
  </si>
  <si>
    <t>Time</t>
  </si>
  <si>
    <t>GDP_USA_Perc_Change</t>
  </si>
  <si>
    <t>GDP_GER_Perc_Change</t>
  </si>
  <si>
    <t>GDP_CHN_Perc_Change</t>
  </si>
  <si>
    <t>Unemp_USA_Perc</t>
  </si>
  <si>
    <t>Unemp_GER_Perc</t>
  </si>
  <si>
    <t>Umemp_CHN_Perc</t>
  </si>
  <si>
    <t>IntRate_USA_Perc</t>
  </si>
  <si>
    <t>IntRate_GER_Perc</t>
  </si>
  <si>
    <t>IntRate_CHN_Perc</t>
  </si>
  <si>
    <t>PPP_USA</t>
  </si>
  <si>
    <t>PPP_GER</t>
  </si>
  <si>
    <t>PPP_JPN</t>
  </si>
  <si>
    <t>CPI_USA</t>
  </si>
  <si>
    <t>CPI_GER</t>
  </si>
  <si>
    <t>CPI_CHN</t>
  </si>
  <si>
    <t>ExchRate_USA</t>
  </si>
  <si>
    <t>ExchRate_GER</t>
  </si>
  <si>
    <t>ExchRate_CHN</t>
  </si>
  <si>
    <t>Avg_Wage_USA</t>
  </si>
  <si>
    <t>Avg_Wage_GER</t>
  </si>
  <si>
    <t>Avg_Wage_JPN</t>
  </si>
  <si>
    <t>ConsBaro_USA</t>
  </si>
  <si>
    <t>ConsBaro_GER</t>
  </si>
  <si>
    <t>ConsBaro_CHN</t>
  </si>
  <si>
    <t>Reported Figure</t>
  </si>
  <si>
    <t>Industrial Business &amp; Safety/Graphics</t>
  </si>
  <si>
    <t>Matched Figure</t>
  </si>
  <si>
    <t>Positional Share (%)</t>
  </si>
  <si>
    <t>Prior Division</t>
  </si>
  <si>
    <t>Prior Divisional Share (%)</t>
  </si>
  <si>
    <t>Income Statement Positions</t>
  </si>
  <si>
    <t>Operating Income (Millions)</t>
  </si>
  <si>
    <t>Unemp_USA_Perc_Chg</t>
  </si>
  <si>
    <t>Unemp_GER_Perc_Chg</t>
  </si>
  <si>
    <t>Umemp_CHN_Perc_Chg</t>
  </si>
  <si>
    <t>IntRate_USA_Perc_Chg</t>
  </si>
  <si>
    <t>IntRate_GER_Perc_Chg</t>
  </si>
  <si>
    <t>IntRate_CHN_Perc_Chg</t>
  </si>
  <si>
    <t>PPP_USA_Chg</t>
  </si>
  <si>
    <t>PPP_GER_Chg</t>
  </si>
  <si>
    <t>PPP_JPN_Chg</t>
  </si>
  <si>
    <t>CPI_USA_Chg</t>
  </si>
  <si>
    <t>CPI_GER_Chg</t>
  </si>
  <si>
    <t>CPI_CHN_Chg</t>
  </si>
  <si>
    <t>ExchRate_USA_Chg</t>
  </si>
  <si>
    <t>ExchRate_GER_Chg</t>
  </si>
  <si>
    <t>ExchRate_CHN_Chg</t>
  </si>
  <si>
    <t>Avg_Wage_USA_Chg</t>
  </si>
  <si>
    <t>Avg_Wage_GER_Chg</t>
  </si>
  <si>
    <t>Avg_Wage_JPN_Chg</t>
  </si>
  <si>
    <t>ConsBaro_USA_Chg</t>
  </si>
  <si>
    <t>ConsBaro_GER_Chg</t>
  </si>
  <si>
    <t>ConsBaro_CHN_Chg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</si>
</sst>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>
      <alignment vertical="top"/>
    </xf>
    <xf numFmtId="9" fontId="7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horizontal="center"/>
    </xf>
    <xf numFmtId="0" fontId="1" fillId="0" borderId="0" xfId="0" applyFont="1" applyAlignment="1">
      <alignment vertical="top" shrinkToFit="1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1" fontId="1" fillId="0" borderId="0" xfId="0" applyNumberFormat="1" applyFont="1" applyFill="1" applyAlignment="1">
      <alignment vertical="top"/>
    </xf>
    <xf numFmtId="1" fontId="0" fillId="0" borderId="0" xfId="0" applyNumberFormat="1" applyFill="1"/>
    <xf numFmtId="1" fontId="4" fillId="0" borderId="0" xfId="0" applyNumberFormat="1" applyFont="1" applyFill="1" applyAlignment="1">
      <alignment vertical="top"/>
    </xf>
    <xf numFmtId="1" fontId="4" fillId="0" borderId="0" xfId="1" applyNumberFormat="1" applyFont="1" applyFill="1">
      <alignment vertical="top"/>
    </xf>
    <xf numFmtId="1" fontId="4" fillId="0" borderId="0" xfId="1" applyNumberFormat="1" applyFill="1">
      <alignment vertical="top"/>
    </xf>
    <xf numFmtId="0" fontId="6" fillId="0" borderId="0" xfId="0" applyFont="1" applyAlignment="1">
      <alignment vertical="top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left" indent="3"/>
    </xf>
    <xf numFmtId="2" fontId="0" fillId="0" borderId="0" xfId="0" applyNumberFormat="1" applyAlignment="1">
      <alignment horizontal="left" indent="4"/>
    </xf>
    <xf numFmtId="1" fontId="1" fillId="0" borderId="0" xfId="0" applyNumberFormat="1" applyFont="1" applyAlignment="1">
      <alignment horizontal="left" vertical="top" indent="6"/>
    </xf>
    <xf numFmtId="1" fontId="4" fillId="0" borderId="0" xfId="0" applyNumberFormat="1" applyFont="1" applyAlignment="1">
      <alignment horizontal="left" vertical="top" indent="6"/>
    </xf>
    <xf numFmtId="1" fontId="0" fillId="0" borderId="0" xfId="0" applyNumberFormat="1" applyFill="1" applyAlignment="1">
      <alignment horizontal="left" indent="6"/>
    </xf>
    <xf numFmtId="1" fontId="1" fillId="0" borderId="0" xfId="0" applyNumberFormat="1" applyFont="1" applyFill="1" applyAlignment="1">
      <alignment horizontal="left" vertical="top" indent="6"/>
    </xf>
    <xf numFmtId="1" fontId="4" fillId="0" borderId="0" xfId="0" applyNumberFormat="1" applyFont="1" applyFill="1" applyAlignment="1">
      <alignment horizontal="left" vertical="top" indent="6"/>
    </xf>
    <xf numFmtId="1" fontId="4" fillId="0" borderId="0" xfId="1" applyNumberFormat="1" applyFont="1" applyFill="1" applyAlignment="1">
      <alignment horizontal="left" vertical="top" indent="6"/>
    </xf>
    <xf numFmtId="1" fontId="0" fillId="0" borderId="0" xfId="0" applyNumberFormat="1" applyAlignment="1">
      <alignment horizontal="left" indent="6"/>
    </xf>
    <xf numFmtId="0" fontId="5" fillId="0" borderId="0" xfId="0" applyFont="1"/>
    <xf numFmtId="0" fontId="0" fillId="0" borderId="0" xfId="0" applyFill="1"/>
    <xf numFmtId="1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right" vertical="top"/>
    </xf>
    <xf numFmtId="2" fontId="0" fillId="0" borderId="0" xfId="0" applyNumberFormat="1" applyFill="1"/>
    <xf numFmtId="14" fontId="0" fillId="0" borderId="0" xfId="0" applyNumberFormat="1"/>
    <xf numFmtId="2" fontId="0" fillId="0" borderId="0" xfId="2" applyNumberFormat="1" applyFont="1"/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0" fillId="0" borderId="5" xfId="0" applyFont="1" applyBorder="1"/>
    <xf numFmtId="0" fontId="10" fillId="0" borderId="0" xfId="0" applyFont="1" applyBorder="1" applyAlignment="1">
      <alignment horizontal="center"/>
    </xf>
    <xf numFmtId="9" fontId="10" fillId="0" borderId="0" xfId="2" applyNumberFormat="1" applyFont="1" applyBorder="1" applyAlignment="1">
      <alignment horizontal="center"/>
    </xf>
    <xf numFmtId="9" fontId="8" fillId="0" borderId="1" xfId="2" applyNumberFormat="1" applyFont="1" applyBorder="1" applyAlignment="1">
      <alignment horizontal="center"/>
    </xf>
    <xf numFmtId="0" fontId="11" fillId="0" borderId="0" xfId="0" applyFont="1" applyFill="1" applyBorder="1"/>
    <xf numFmtId="0" fontId="11" fillId="0" borderId="1" xfId="0" applyFont="1" applyFill="1" applyBorder="1"/>
    <xf numFmtId="0" fontId="10" fillId="0" borderId="0" xfId="0" applyFont="1" applyFill="1" applyBorder="1" applyAlignment="1">
      <alignment horizontal="center"/>
    </xf>
    <xf numFmtId="0" fontId="10" fillId="0" borderId="5" xfId="0" applyFont="1" applyFill="1" applyBorder="1"/>
    <xf numFmtId="9" fontId="10" fillId="0" borderId="0" xfId="0" applyNumberFormat="1" applyFont="1" applyBorder="1" applyAlignment="1">
      <alignment horizontal="center"/>
    </xf>
    <xf numFmtId="9" fontId="10" fillId="0" borderId="1" xfId="0" applyNumberFormat="1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right"/>
    </xf>
    <xf numFmtId="0" fontId="9" fillId="0" borderId="1" xfId="0" applyFont="1" applyFill="1" applyBorder="1"/>
    <xf numFmtId="0" fontId="11" fillId="0" borderId="0" xfId="0" applyFont="1" applyBorder="1"/>
    <xf numFmtId="9" fontId="10" fillId="0" borderId="1" xfId="2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9" fontId="8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6" xfId="0" applyFont="1" applyBorder="1"/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9" fillId="0" borderId="7" xfId="0" applyFont="1" applyBorder="1" applyAlignment="1">
      <alignment horizontal="right"/>
    </xf>
    <xf numFmtId="0" fontId="9" fillId="0" borderId="8" xfId="0" applyFont="1" applyFill="1" applyBorder="1"/>
    <xf numFmtId="2" fontId="0" fillId="0" borderId="0" xfId="0" applyNumberFormat="1"/>
  </cellXfs>
  <cellStyles count="3">
    <cellStyle name="Prozent" xfId="2" builtinId="5"/>
    <cellStyle name="Standard" xfId="0" builtinId="0"/>
    <cellStyle name="Standard 2" xfId="1" xr:uid="{3752C96D-6DB5-4152-8588-D07B24BB9D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x Kneißler" id="{B5B7C449-0E58-4285-9B1F-D620AF741778}" userId="4fc4a2982415265c" providerId="Windows Liv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2-08-10T14:30:21.87" personId="{B5B7C449-0E58-4285-9B1F-D620AF741778}" id="{F6251FB9-945E-4FD6-85AF-3BF659F40912}">
    <text>Since 2022, no longer bual credits are tracked for certain sales and related operating income</text>
  </threadedComment>
  <threadedComment ref="A27" dT="2022-08-10T14:30:21.87" personId="{B5B7C449-0E58-4285-9B1F-D620AF741778}" id="{91E0F102-69C9-44F6-BBEB-20DD5D52D395}">
    <text>Since 2022, no longer bual credits are tracked for certain sales and related operating income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D4939-A4F5-4018-8E2F-67EBA9769C49}">
  <dimension ref="A1:AM16"/>
  <sheetViews>
    <sheetView zoomScale="90" zoomScaleNormal="90" workbookViewId="0">
      <pane xSplit="1" topLeftCell="B1" activePane="topRight" state="frozen"/>
      <selection pane="topRight" activeCell="I38" sqref="I38"/>
    </sheetView>
  </sheetViews>
  <sheetFormatPr baseColWidth="10" defaultRowHeight="15" x14ac:dyDescent="0.25"/>
  <cols>
    <col min="1" max="1" width="45.7109375" customWidth="1"/>
    <col min="19" max="23" width="11.42578125" customWidth="1"/>
  </cols>
  <sheetData>
    <row r="1" spans="1:39" x14ac:dyDescent="0.25">
      <c r="A1" s="1" t="s">
        <v>145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30</v>
      </c>
      <c r="W1" s="2" t="s">
        <v>31</v>
      </c>
      <c r="X1" s="2" t="s">
        <v>32</v>
      </c>
      <c r="Y1" s="2" t="s">
        <v>33</v>
      </c>
      <c r="Z1" s="2" t="s">
        <v>34</v>
      </c>
      <c r="AA1" s="2" t="s">
        <v>35</v>
      </c>
      <c r="AB1" s="2" t="s">
        <v>36</v>
      </c>
      <c r="AC1" s="2" t="s">
        <v>37</v>
      </c>
      <c r="AD1" s="2" t="s">
        <v>38</v>
      </c>
      <c r="AE1" s="2" t="s">
        <v>39</v>
      </c>
      <c r="AF1" s="2" t="s">
        <v>40</v>
      </c>
      <c r="AG1" s="2" t="s">
        <v>41</v>
      </c>
      <c r="AH1" s="2" t="s">
        <v>42</v>
      </c>
      <c r="AI1" s="2" t="s">
        <v>43</v>
      </c>
      <c r="AJ1" s="2" t="s">
        <v>44</v>
      </c>
      <c r="AK1" s="2" t="s">
        <v>45</v>
      </c>
      <c r="AL1" s="2" t="s">
        <v>46</v>
      </c>
      <c r="AM1" s="2" t="s">
        <v>47</v>
      </c>
    </row>
    <row r="2" spans="1:39" x14ac:dyDescent="0.25">
      <c r="A2" s="5" t="s">
        <v>50</v>
      </c>
      <c r="B2" s="7">
        <v>8702</v>
      </c>
      <c r="C2" s="7">
        <v>8829</v>
      </c>
      <c r="D2" s="8">
        <v>8612</v>
      </c>
      <c r="E2" s="7">
        <v>8942</v>
      </c>
      <c r="F2" s="7">
        <v>8950</v>
      </c>
      <c r="G2" s="7">
        <v>8851</v>
      </c>
      <c r="H2" s="8">
        <v>8583</v>
      </c>
      <c r="I2" s="7">
        <v>8350</v>
      </c>
      <c r="J2" s="7">
        <v>7176</v>
      </c>
      <c r="K2" s="9">
        <v>8075</v>
      </c>
      <c r="L2" s="8">
        <v>8111</v>
      </c>
      <c r="M2" s="9">
        <v>7991</v>
      </c>
      <c r="N2" s="9">
        <v>8171</v>
      </c>
      <c r="O2" s="9">
        <v>7863</v>
      </c>
      <c r="P2" s="9">
        <v>7945</v>
      </c>
      <c r="Q2" s="9">
        <v>8152</v>
      </c>
      <c r="R2" s="9">
        <v>8390</v>
      </c>
      <c r="S2" s="9">
        <v>8278</v>
      </c>
      <c r="T2" s="9">
        <v>7990</v>
      </c>
      <c r="U2" s="9">
        <v>8172</v>
      </c>
      <c r="V2" s="9">
        <v>7810</v>
      </c>
      <c r="W2" s="9">
        <v>7685</v>
      </c>
      <c r="X2" s="9">
        <v>7329</v>
      </c>
      <c r="Y2" s="9">
        <v>7709</v>
      </c>
      <c r="Z2" s="9">
        <v>7662</v>
      </c>
      <c r="AA2" s="9">
        <v>7409</v>
      </c>
      <c r="AB2" s="9">
        <v>7298</v>
      </c>
      <c r="AC2" s="9">
        <v>7712</v>
      </c>
      <c r="AD2" s="9">
        <v>7686</v>
      </c>
      <c r="AE2" s="9">
        <v>7578</v>
      </c>
      <c r="AF2" s="9">
        <v>7719</v>
      </c>
      <c r="AG2" s="9">
        <v>8137</v>
      </c>
      <c r="AH2" s="9">
        <v>8134</v>
      </c>
      <c r="AI2" s="9">
        <v>7831</v>
      </c>
      <c r="AJ2" s="9">
        <v>7569</v>
      </c>
      <c r="AK2" s="9">
        <v>7916</v>
      </c>
      <c r="AL2" s="9">
        <v>7752</v>
      </c>
      <c r="AM2" s="9">
        <v>7634</v>
      </c>
    </row>
    <row r="3" spans="1:39" x14ac:dyDescent="0.25">
      <c r="A3" s="5" t="s">
        <v>51</v>
      </c>
      <c r="B3" s="7">
        <v>5093</v>
      </c>
      <c r="C3" s="7">
        <v>4826</v>
      </c>
      <c r="D3" s="8">
        <v>4698</v>
      </c>
      <c r="E3" s="7">
        <v>4853</v>
      </c>
      <c r="F3" s="7">
        <v>4719</v>
      </c>
      <c r="G3" s="7">
        <v>4525</v>
      </c>
      <c r="H3" s="8">
        <v>4388</v>
      </c>
      <c r="I3" s="7">
        <v>4303</v>
      </c>
      <c r="J3" s="9">
        <v>3805</v>
      </c>
      <c r="K3" s="9">
        <v>4109</v>
      </c>
      <c r="L3" s="8">
        <v>4325</v>
      </c>
      <c r="M3" s="9">
        <v>4188</v>
      </c>
      <c r="N3" s="9">
        <v>4313</v>
      </c>
      <c r="O3" s="9">
        <v>4310</v>
      </c>
      <c r="P3" s="9">
        <v>4060</v>
      </c>
      <c r="Q3" s="9">
        <v>4159</v>
      </c>
      <c r="R3" s="9">
        <v>4227</v>
      </c>
      <c r="S3" s="9">
        <v>4236</v>
      </c>
      <c r="T3" s="9">
        <v>4108</v>
      </c>
      <c r="U3" s="9">
        <v>4045</v>
      </c>
      <c r="V3" s="9">
        <v>4020</v>
      </c>
      <c r="W3" s="9">
        <v>3882</v>
      </c>
      <c r="X3" s="9">
        <v>3716</v>
      </c>
      <c r="Y3" s="9">
        <v>3847</v>
      </c>
      <c r="Z3" s="9">
        <v>3799</v>
      </c>
      <c r="AA3" s="9">
        <v>3678</v>
      </c>
      <c r="AB3" s="9">
        <v>3827</v>
      </c>
      <c r="AC3" s="9">
        <v>3877</v>
      </c>
      <c r="AD3" s="9">
        <v>3858</v>
      </c>
      <c r="AE3" s="9">
        <v>3821</v>
      </c>
      <c r="AF3" s="9">
        <v>4027</v>
      </c>
      <c r="AG3" s="9">
        <v>4205</v>
      </c>
      <c r="AH3" s="9">
        <v>4184</v>
      </c>
      <c r="AI3" s="9">
        <v>4031</v>
      </c>
      <c r="AJ3" s="9">
        <v>3976</v>
      </c>
      <c r="AK3" s="9">
        <v>4148</v>
      </c>
      <c r="AL3" s="9">
        <v>4013</v>
      </c>
      <c r="AM3" s="9">
        <v>3969</v>
      </c>
    </row>
    <row r="4" spans="1:39" x14ac:dyDescent="0.25">
      <c r="A4" s="5" t="s">
        <v>52</v>
      </c>
      <c r="B4" s="7">
        <v>3023</v>
      </c>
      <c r="C4" s="7">
        <v>1882</v>
      </c>
      <c r="D4" s="8">
        <v>1824</v>
      </c>
      <c r="E4" s="7">
        <v>1819</v>
      </c>
      <c r="F4" s="7">
        <v>1746</v>
      </c>
      <c r="G4" s="7">
        <v>1808</v>
      </c>
      <c r="H4" s="8">
        <v>1890</v>
      </c>
      <c r="I4" s="7">
        <v>1677</v>
      </c>
      <c r="J4" s="9">
        <v>1594</v>
      </c>
      <c r="K4" s="9">
        <v>1768</v>
      </c>
      <c r="L4" s="8">
        <v>1940</v>
      </c>
      <c r="M4" s="9">
        <v>1455</v>
      </c>
      <c r="N4" s="9">
        <v>1686</v>
      </c>
      <c r="O4" s="9">
        <v>1948</v>
      </c>
      <c r="P4" s="9">
        <v>1682</v>
      </c>
      <c r="Q4" s="9">
        <v>1547</v>
      </c>
      <c r="R4" s="9">
        <v>1800</v>
      </c>
      <c r="S4" s="9">
        <v>2573</v>
      </c>
      <c r="T4" s="9">
        <v>1769</v>
      </c>
      <c r="U4" s="9">
        <v>1623</v>
      </c>
      <c r="V4" s="9">
        <v>1620</v>
      </c>
      <c r="W4" s="9">
        <v>1614</v>
      </c>
      <c r="X4" s="9">
        <v>1527</v>
      </c>
      <c r="Y4" s="9">
        <v>1531</v>
      </c>
      <c r="Z4" s="9">
        <v>1560</v>
      </c>
      <c r="AA4" s="9">
        <v>1493</v>
      </c>
      <c r="AB4" s="9">
        <v>1538</v>
      </c>
      <c r="AC4" s="9">
        <v>1530</v>
      </c>
      <c r="AD4" s="9">
        <v>1550</v>
      </c>
      <c r="AE4" s="9">
        <v>1564</v>
      </c>
      <c r="AF4" s="9">
        <v>1594</v>
      </c>
      <c r="AG4" s="9">
        <v>1597</v>
      </c>
      <c r="AH4" s="9">
        <v>1646</v>
      </c>
      <c r="AI4" s="9">
        <v>1632</v>
      </c>
      <c r="AJ4" s="9">
        <v>1576</v>
      </c>
      <c r="AK4" s="9">
        <v>1609</v>
      </c>
      <c r="AL4" s="9">
        <v>1610</v>
      </c>
      <c r="AM4" s="9">
        <v>1589</v>
      </c>
    </row>
    <row r="5" spans="1:39" x14ac:dyDescent="0.25">
      <c r="A5" s="5" t="s">
        <v>53</v>
      </c>
      <c r="B5" s="7">
        <v>476</v>
      </c>
      <c r="C5" s="7">
        <v>480</v>
      </c>
      <c r="D5" s="8">
        <v>474</v>
      </c>
      <c r="E5" s="7">
        <v>482</v>
      </c>
      <c r="F5" s="7">
        <v>514</v>
      </c>
      <c r="G5" s="7">
        <v>524</v>
      </c>
      <c r="H5" s="8">
        <v>456</v>
      </c>
      <c r="I5" s="7">
        <v>461</v>
      </c>
      <c r="J5" s="9">
        <v>424</v>
      </c>
      <c r="K5" s="9">
        <v>537</v>
      </c>
      <c r="L5" s="8">
        <v>521</v>
      </c>
      <c r="M5" s="9">
        <v>443</v>
      </c>
      <c r="N5" s="9">
        <v>470</v>
      </c>
      <c r="O5" s="9">
        <v>477</v>
      </c>
      <c r="P5" s="9">
        <v>437</v>
      </c>
      <c r="Q5" s="9">
        <v>430</v>
      </c>
      <c r="R5" s="9">
        <v>468</v>
      </c>
      <c r="S5" s="9">
        <v>486</v>
      </c>
      <c r="T5" s="9">
        <v>453</v>
      </c>
      <c r="U5" s="9">
        <v>463</v>
      </c>
      <c r="V5" s="9">
        <v>478</v>
      </c>
      <c r="W5" s="9">
        <v>476</v>
      </c>
      <c r="X5" s="9">
        <v>421</v>
      </c>
      <c r="Y5" s="9">
        <v>427</v>
      </c>
      <c r="Z5" s="9">
        <v>437</v>
      </c>
      <c r="AA5" s="9">
        <v>450</v>
      </c>
      <c r="AB5" s="9">
        <v>433</v>
      </c>
      <c r="AC5" s="9">
        <v>429</v>
      </c>
      <c r="AD5" s="9">
        <v>438</v>
      </c>
      <c r="AE5" s="9">
        <v>463</v>
      </c>
      <c r="AF5" s="9">
        <v>436</v>
      </c>
      <c r="AG5" s="9">
        <v>434</v>
      </c>
      <c r="AH5" s="9">
        <v>448</v>
      </c>
      <c r="AI5" s="9">
        <v>452</v>
      </c>
      <c r="AJ5" s="9">
        <v>438</v>
      </c>
      <c r="AK5" s="9">
        <v>420</v>
      </c>
      <c r="AL5" s="9">
        <v>427</v>
      </c>
      <c r="AM5" s="9">
        <v>430</v>
      </c>
    </row>
    <row r="6" spans="1:39" x14ac:dyDescent="0.25">
      <c r="A6" s="5" t="s">
        <v>54</v>
      </c>
      <c r="B6" s="7">
        <v>0</v>
      </c>
      <c r="C6" s="7">
        <v>0</v>
      </c>
      <c r="D6" s="8">
        <v>0</v>
      </c>
      <c r="E6" s="7">
        <v>0</v>
      </c>
      <c r="F6" s="7">
        <v>0</v>
      </c>
      <c r="G6" s="7">
        <v>0</v>
      </c>
      <c r="H6" s="8">
        <v>0</v>
      </c>
      <c r="I6" s="7">
        <v>0</v>
      </c>
      <c r="J6" s="9">
        <v>-387</v>
      </c>
      <c r="K6" s="9">
        <v>-2</v>
      </c>
      <c r="L6" s="8">
        <v>0</v>
      </c>
      <c r="M6" s="9">
        <v>-106</v>
      </c>
      <c r="N6" s="9">
        <v>0</v>
      </c>
      <c r="O6" s="9">
        <v>-8</v>
      </c>
      <c r="P6" s="9">
        <v>-17</v>
      </c>
      <c r="Q6" s="9">
        <v>0</v>
      </c>
      <c r="R6" s="9">
        <v>-506</v>
      </c>
      <c r="S6" s="9">
        <v>-24</v>
      </c>
      <c r="T6" s="9">
        <v>-96</v>
      </c>
      <c r="U6" s="9">
        <v>0</v>
      </c>
      <c r="V6" s="9">
        <v>-461</v>
      </c>
      <c r="W6" s="9">
        <v>-29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</row>
    <row r="7" spans="1:39" x14ac:dyDescent="0.25">
      <c r="A7" s="5" t="s">
        <v>55</v>
      </c>
      <c r="B7" s="7">
        <v>8592</v>
      </c>
      <c r="C7" s="7">
        <v>7188</v>
      </c>
      <c r="D7" s="8">
        <v>6996</v>
      </c>
      <c r="E7" s="7">
        <v>7154</v>
      </c>
      <c r="F7" s="7">
        <v>6979</v>
      </c>
      <c r="G7" s="7">
        <v>6857</v>
      </c>
      <c r="H7" s="8">
        <v>6734</v>
      </c>
      <c r="I7" s="7">
        <v>6441</v>
      </c>
      <c r="J7" s="9">
        <v>5436</v>
      </c>
      <c r="K7" s="9">
        <v>6412</v>
      </c>
      <c r="L7" s="8">
        <v>6786</v>
      </c>
      <c r="M7" s="9">
        <v>5980</v>
      </c>
      <c r="N7" s="9">
        <v>6469</v>
      </c>
      <c r="O7" s="9">
        <v>6727</v>
      </c>
      <c r="P7" s="9">
        <v>6162</v>
      </c>
      <c r="Q7" s="9">
        <v>6136</v>
      </c>
      <c r="R7" s="9">
        <v>5989</v>
      </c>
      <c r="S7" s="9">
        <v>7271</v>
      </c>
      <c r="T7" s="9">
        <v>6234</v>
      </c>
      <c r="U7" s="9">
        <v>6131</v>
      </c>
      <c r="V7" s="9">
        <v>5657</v>
      </c>
      <c r="W7" s="9">
        <v>5943</v>
      </c>
      <c r="X7" s="9">
        <v>5664</v>
      </c>
      <c r="Y7" s="9">
        <v>5805</v>
      </c>
      <c r="Z7" s="9">
        <v>5796</v>
      </c>
      <c r="AA7" s="9">
        <v>5621</v>
      </c>
      <c r="AB7" s="9">
        <v>5798</v>
      </c>
      <c r="AC7" s="9">
        <v>5836</v>
      </c>
      <c r="AD7" s="9">
        <v>5846</v>
      </c>
      <c r="AE7" s="9">
        <v>5848</v>
      </c>
      <c r="AF7" s="9">
        <v>6057</v>
      </c>
      <c r="AG7" s="9">
        <v>6236</v>
      </c>
      <c r="AH7" s="9">
        <v>6278</v>
      </c>
      <c r="AI7" s="9">
        <v>6115</v>
      </c>
      <c r="AJ7" s="9">
        <v>5990</v>
      </c>
      <c r="AK7" s="9">
        <v>6177</v>
      </c>
      <c r="AL7" s="9">
        <v>6050</v>
      </c>
      <c r="AM7" s="9">
        <v>5988</v>
      </c>
    </row>
    <row r="8" spans="1:39" x14ac:dyDescent="0.25">
      <c r="A8" s="5" t="s">
        <v>56</v>
      </c>
      <c r="B8" s="7">
        <v>110</v>
      </c>
      <c r="C8" s="7">
        <v>1641</v>
      </c>
      <c r="D8" s="8">
        <v>1616</v>
      </c>
      <c r="E8" s="7">
        <v>1788</v>
      </c>
      <c r="F8" s="7">
        <v>1971</v>
      </c>
      <c r="G8" s="7">
        <v>1994</v>
      </c>
      <c r="H8" s="8">
        <v>1849</v>
      </c>
      <c r="I8" s="7">
        <v>1909</v>
      </c>
      <c r="J8" s="9">
        <v>1740</v>
      </c>
      <c r="K8" s="9">
        <v>1663</v>
      </c>
      <c r="L8" s="8">
        <v>1325</v>
      </c>
      <c r="M8" s="9">
        <v>2011</v>
      </c>
      <c r="N8" s="9">
        <v>1702</v>
      </c>
      <c r="O8" s="9">
        <v>1136</v>
      </c>
      <c r="P8" s="9">
        <v>1783</v>
      </c>
      <c r="Q8" s="9">
        <v>2016</v>
      </c>
      <c r="R8" s="9">
        <v>2401</v>
      </c>
      <c r="S8" s="9">
        <v>1007</v>
      </c>
      <c r="T8" s="9">
        <v>1756</v>
      </c>
      <c r="U8" s="9">
        <v>2041</v>
      </c>
      <c r="V8" s="9">
        <v>2153</v>
      </c>
      <c r="W8" s="9">
        <v>1742</v>
      </c>
      <c r="X8" s="9">
        <v>1665</v>
      </c>
      <c r="Y8" s="9">
        <v>1904</v>
      </c>
      <c r="Z8" s="9">
        <v>1866</v>
      </c>
      <c r="AA8" s="9">
        <v>1788</v>
      </c>
      <c r="AB8" s="9">
        <v>1500</v>
      </c>
      <c r="AC8" s="9">
        <v>1876</v>
      </c>
      <c r="AD8" s="9">
        <v>1840</v>
      </c>
      <c r="AE8" s="9">
        <v>1730</v>
      </c>
      <c r="AF8" s="9">
        <v>1662</v>
      </c>
      <c r="AG8" s="9">
        <v>1901</v>
      </c>
      <c r="AH8" s="9">
        <v>1856</v>
      </c>
      <c r="AI8" s="9">
        <v>1716</v>
      </c>
      <c r="AJ8" s="9">
        <v>1579</v>
      </c>
      <c r="AK8" s="9">
        <v>1739</v>
      </c>
      <c r="AL8" s="9">
        <v>1702</v>
      </c>
      <c r="AM8" s="9">
        <v>1646</v>
      </c>
    </row>
    <row r="9" spans="1:39" x14ac:dyDescent="0.25">
      <c r="A9" s="5" t="s">
        <v>57</v>
      </c>
      <c r="B9" s="7">
        <v>50</v>
      </c>
      <c r="C9" s="7">
        <v>38</v>
      </c>
      <c r="D9" s="8">
        <v>52</v>
      </c>
      <c r="E9" s="7">
        <v>31</v>
      </c>
      <c r="F9" s="7">
        <v>33</v>
      </c>
      <c r="G9" s="7">
        <v>49</v>
      </c>
      <c r="H9" s="8">
        <v>76</v>
      </c>
      <c r="I9" s="7">
        <v>83</v>
      </c>
      <c r="J9" s="9">
        <v>111</v>
      </c>
      <c r="K9" s="9">
        <v>96</v>
      </c>
      <c r="L9" s="8">
        <v>182</v>
      </c>
      <c r="M9" s="9">
        <v>45</v>
      </c>
      <c r="N9" s="9">
        <v>256</v>
      </c>
      <c r="O9" s="9">
        <v>48</v>
      </c>
      <c r="P9" s="9">
        <v>63</v>
      </c>
      <c r="Q9" s="9">
        <v>51</v>
      </c>
      <c r="R9" s="9">
        <v>51</v>
      </c>
      <c r="S9" s="9">
        <v>42</v>
      </c>
      <c r="T9" s="9">
        <v>84</v>
      </c>
      <c r="U9" s="9">
        <v>44</v>
      </c>
      <c r="V9" s="9">
        <v>11</v>
      </c>
      <c r="W9" s="9">
        <v>5</v>
      </c>
      <c r="X9" s="9">
        <v>55</v>
      </c>
      <c r="Y9" s="9">
        <v>42</v>
      </c>
      <c r="Z9" s="9">
        <v>31</v>
      </c>
      <c r="AA9" s="9">
        <v>42</v>
      </c>
      <c r="AB9" s="9">
        <v>37</v>
      </c>
      <c r="AC9" s="9">
        <v>31</v>
      </c>
      <c r="AD9" s="9">
        <v>28</v>
      </c>
      <c r="AE9" s="9">
        <v>27</v>
      </c>
      <c r="AF9" s="9">
        <v>24</v>
      </c>
      <c r="AG9" s="9">
        <v>21</v>
      </c>
      <c r="AH9" s="9">
        <v>36</v>
      </c>
      <c r="AI9" s="9">
        <v>28</v>
      </c>
      <c r="AJ9" s="9">
        <v>21</v>
      </c>
      <c r="AK9" s="9">
        <v>23</v>
      </c>
      <c r="AL9" s="9">
        <v>31</v>
      </c>
      <c r="AM9" s="9">
        <v>29</v>
      </c>
    </row>
    <row r="10" spans="1:39" x14ac:dyDescent="0.25">
      <c r="A10" s="5" t="s">
        <v>58</v>
      </c>
      <c r="B10" s="7">
        <v>60</v>
      </c>
      <c r="C10" s="7">
        <v>1603</v>
      </c>
      <c r="D10" s="8">
        <v>1564</v>
      </c>
      <c r="E10" s="7">
        <v>1757</v>
      </c>
      <c r="F10" s="7">
        <v>1938</v>
      </c>
      <c r="G10" s="7">
        <v>1945</v>
      </c>
      <c r="H10" s="8">
        <v>1773</v>
      </c>
      <c r="I10" s="7">
        <v>1826</v>
      </c>
      <c r="J10" s="9">
        <v>1629</v>
      </c>
      <c r="K10" s="9">
        <v>1567</v>
      </c>
      <c r="L10" s="8">
        <v>1143</v>
      </c>
      <c r="M10" s="9">
        <v>1966</v>
      </c>
      <c r="N10" s="9">
        <v>1446</v>
      </c>
      <c r="O10" s="9">
        <v>1088</v>
      </c>
      <c r="P10" s="9">
        <v>1720</v>
      </c>
      <c r="Q10" s="9">
        <v>1965</v>
      </c>
      <c r="R10" s="9">
        <v>2350</v>
      </c>
      <c r="S10" s="9">
        <v>965</v>
      </c>
      <c r="T10" s="9">
        <v>1672</v>
      </c>
      <c r="U10" s="9">
        <v>1997</v>
      </c>
      <c r="V10" s="9">
        <v>2142</v>
      </c>
      <c r="W10" s="9">
        <v>1737</v>
      </c>
      <c r="X10" s="9">
        <v>1610</v>
      </c>
      <c r="Y10" s="9">
        <v>1862</v>
      </c>
      <c r="Z10" s="9">
        <v>1835</v>
      </c>
      <c r="AA10" s="9">
        <v>1746</v>
      </c>
      <c r="AB10" s="9">
        <v>1463</v>
      </c>
      <c r="AC10" s="9">
        <v>1845</v>
      </c>
      <c r="AD10" s="9">
        <v>1812</v>
      </c>
      <c r="AE10" s="9">
        <v>1703</v>
      </c>
      <c r="AF10" s="9">
        <v>1638</v>
      </c>
      <c r="AG10" s="9">
        <v>1880</v>
      </c>
      <c r="AH10" s="9">
        <v>1820</v>
      </c>
      <c r="AI10" s="9">
        <v>1688</v>
      </c>
      <c r="AJ10" s="9">
        <v>1558</v>
      </c>
      <c r="AK10" s="9">
        <v>1716</v>
      </c>
      <c r="AL10" s="9">
        <v>1671</v>
      </c>
      <c r="AM10" s="9">
        <v>1617</v>
      </c>
    </row>
    <row r="11" spans="1:39" x14ac:dyDescent="0.25">
      <c r="A11" s="5" t="s">
        <v>59</v>
      </c>
      <c r="B11" s="7">
        <v>-23</v>
      </c>
      <c r="C11" s="7">
        <v>302</v>
      </c>
      <c r="D11" s="8">
        <v>227</v>
      </c>
      <c r="E11" s="7">
        <v>324</v>
      </c>
      <c r="F11" s="7">
        <v>415</v>
      </c>
      <c r="G11" s="7">
        <v>319</v>
      </c>
      <c r="H11" s="8">
        <v>331</v>
      </c>
      <c r="I11" s="7">
        <v>391</v>
      </c>
      <c r="J11" s="9">
        <v>342</v>
      </c>
      <c r="K11" s="9">
        <v>273</v>
      </c>
      <c r="L11" s="8">
        <v>226</v>
      </c>
      <c r="M11" s="9">
        <v>378</v>
      </c>
      <c r="N11" s="9">
        <v>315</v>
      </c>
      <c r="O11" s="9">
        <v>195</v>
      </c>
      <c r="P11" s="9">
        <v>371</v>
      </c>
      <c r="Q11" s="9">
        <v>419</v>
      </c>
      <c r="R11" s="9">
        <v>488</v>
      </c>
      <c r="S11" s="9">
        <v>359</v>
      </c>
      <c r="T11" s="9">
        <v>1147</v>
      </c>
      <c r="U11" s="9">
        <v>564</v>
      </c>
      <c r="V11" s="9">
        <v>557</v>
      </c>
      <c r="W11" s="9">
        <v>411</v>
      </c>
      <c r="X11" s="9">
        <v>454</v>
      </c>
      <c r="Y11" s="9">
        <v>531</v>
      </c>
      <c r="Z11" s="9">
        <v>542</v>
      </c>
      <c r="AA11" s="9">
        <v>468</v>
      </c>
      <c r="AB11" s="9">
        <v>424</v>
      </c>
      <c r="AC11" s="9">
        <v>547</v>
      </c>
      <c r="AD11" s="9">
        <v>509</v>
      </c>
      <c r="AE11" s="9">
        <v>502</v>
      </c>
      <c r="AF11" s="9">
        <v>459</v>
      </c>
      <c r="AG11" s="9">
        <v>569</v>
      </c>
      <c r="AH11" s="9">
        <v>537</v>
      </c>
      <c r="AI11" s="9">
        <v>463</v>
      </c>
      <c r="AJ11" s="9">
        <v>442</v>
      </c>
      <c r="AK11" s="9">
        <v>471</v>
      </c>
      <c r="AL11" s="9">
        <v>458</v>
      </c>
      <c r="AM11" s="9">
        <v>470</v>
      </c>
    </row>
    <row r="12" spans="1:39" x14ac:dyDescent="0.25">
      <c r="A12" s="5" t="s">
        <v>60</v>
      </c>
      <c r="B12" s="7">
        <v>83</v>
      </c>
      <c r="C12" s="7">
        <v>1301</v>
      </c>
      <c r="D12" s="8">
        <v>1337</v>
      </c>
      <c r="E12" s="7">
        <v>1433</v>
      </c>
      <c r="F12" s="7">
        <v>1523</v>
      </c>
      <c r="G12" s="7">
        <v>1626</v>
      </c>
      <c r="H12" s="8">
        <v>1442</v>
      </c>
      <c r="I12" s="7">
        <v>1435</v>
      </c>
      <c r="J12" s="9">
        <v>1287</v>
      </c>
      <c r="K12" s="7">
        <v>1294</v>
      </c>
      <c r="L12" s="8">
        <v>917</v>
      </c>
      <c r="M12" s="9">
        <v>1588</v>
      </c>
      <c r="N12" s="9">
        <v>1131</v>
      </c>
      <c r="O12" s="9">
        <v>893</v>
      </c>
      <c r="P12" s="9">
        <v>1349</v>
      </c>
      <c r="Q12" s="9">
        <v>1546</v>
      </c>
      <c r="R12" s="9">
        <v>1862</v>
      </c>
      <c r="S12" s="9">
        <v>606</v>
      </c>
      <c r="T12" s="9">
        <v>525</v>
      </c>
      <c r="U12" s="9">
        <v>1433</v>
      </c>
      <c r="V12" s="9">
        <v>1585</v>
      </c>
      <c r="W12" s="9">
        <v>1326</v>
      </c>
      <c r="X12" s="9">
        <v>1156</v>
      </c>
      <c r="Y12" s="9">
        <v>1331</v>
      </c>
      <c r="Z12" s="9">
        <v>1293</v>
      </c>
      <c r="AA12" s="9">
        <v>1278</v>
      </c>
      <c r="AB12" s="9">
        <v>1039</v>
      </c>
      <c r="AC12" s="9">
        <v>1298</v>
      </c>
      <c r="AD12" s="9">
        <v>1303</v>
      </c>
      <c r="AE12" s="9">
        <v>1201</v>
      </c>
      <c r="AF12" s="9">
        <v>1179</v>
      </c>
      <c r="AG12" s="9">
        <v>1311</v>
      </c>
      <c r="AH12" s="9">
        <v>1283</v>
      </c>
      <c r="AI12" s="9">
        <v>1225</v>
      </c>
      <c r="AJ12" s="9">
        <v>1116</v>
      </c>
      <c r="AK12" s="9">
        <v>1245</v>
      </c>
      <c r="AL12" s="9">
        <v>1213</v>
      </c>
      <c r="AM12" s="9">
        <v>1147</v>
      </c>
    </row>
    <row r="13" spans="1:39" x14ac:dyDescent="0.25">
      <c r="A13" s="5" t="s">
        <v>64</v>
      </c>
      <c r="B13" s="7">
        <v>-1</v>
      </c>
      <c r="C13" s="7">
        <v>2</v>
      </c>
      <c r="D13" s="8">
        <v>3</v>
      </c>
      <c r="E13" s="7">
        <v>4</v>
      </c>
      <c r="F13" s="7">
        <v>2</v>
      </c>
      <c r="G13" s="7">
        <v>1</v>
      </c>
      <c r="H13" s="8">
        <v>-4</v>
      </c>
      <c r="I13" s="7">
        <v>-1</v>
      </c>
      <c r="J13" s="7">
        <v>0</v>
      </c>
      <c r="K13" s="7">
        <v>0</v>
      </c>
      <c r="L13" s="8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10">
        <v>0</v>
      </c>
      <c r="S13" s="7">
        <v>0</v>
      </c>
      <c r="T13" s="7">
        <v>0</v>
      </c>
      <c r="U13" s="7">
        <v>0</v>
      </c>
      <c r="V13" s="10">
        <v>0</v>
      </c>
      <c r="W13" s="7">
        <v>0</v>
      </c>
      <c r="X13" s="8">
        <v>0</v>
      </c>
      <c r="Y13" s="7">
        <v>0</v>
      </c>
      <c r="Z13" s="7">
        <v>0</v>
      </c>
      <c r="AA13" s="7">
        <v>0</v>
      </c>
      <c r="AB13" s="8">
        <v>0</v>
      </c>
      <c r="AC13" s="7">
        <v>0</v>
      </c>
      <c r="AD13" s="7">
        <v>0</v>
      </c>
      <c r="AE13" s="7">
        <v>0</v>
      </c>
      <c r="AF13" s="8">
        <v>0</v>
      </c>
      <c r="AG13" s="7">
        <v>0</v>
      </c>
      <c r="AH13" s="7">
        <v>0</v>
      </c>
      <c r="AI13" s="7">
        <v>0</v>
      </c>
      <c r="AJ13" s="8">
        <v>0</v>
      </c>
      <c r="AK13" s="7">
        <v>0</v>
      </c>
      <c r="AL13" s="7">
        <v>0</v>
      </c>
      <c r="AM13" s="7">
        <v>0</v>
      </c>
    </row>
    <row r="14" spans="1:39" x14ac:dyDescent="0.25">
      <c r="A14" s="5" t="s">
        <v>61</v>
      </c>
      <c r="B14" s="7">
        <v>82</v>
      </c>
      <c r="C14" s="7">
        <v>1303</v>
      </c>
      <c r="D14" s="8">
        <v>1340</v>
      </c>
      <c r="E14" s="7">
        <v>1437</v>
      </c>
      <c r="F14" s="7">
        <v>1525</v>
      </c>
      <c r="G14" s="7">
        <v>1627</v>
      </c>
      <c r="H14" s="8">
        <v>1438</v>
      </c>
      <c r="I14" s="7">
        <v>1434</v>
      </c>
      <c r="J14" s="9">
        <v>1287</v>
      </c>
      <c r="K14" s="9">
        <v>1294</v>
      </c>
      <c r="L14" s="8">
        <v>917</v>
      </c>
      <c r="M14" s="7">
        <v>1588</v>
      </c>
      <c r="N14" s="9">
        <v>1131</v>
      </c>
      <c r="O14" s="9">
        <v>893</v>
      </c>
      <c r="P14" s="9">
        <v>1349</v>
      </c>
      <c r="Q14" s="7">
        <v>1546</v>
      </c>
      <c r="R14" s="9">
        <v>1862</v>
      </c>
      <c r="S14" s="9">
        <v>606</v>
      </c>
      <c r="T14" s="9">
        <v>525</v>
      </c>
      <c r="U14" s="9">
        <v>1433</v>
      </c>
      <c r="V14" s="9">
        <v>1585</v>
      </c>
      <c r="W14" s="9">
        <v>1326</v>
      </c>
      <c r="X14" s="9">
        <v>1156</v>
      </c>
      <c r="Y14" s="9">
        <v>1331</v>
      </c>
      <c r="Z14" s="9">
        <v>1293</v>
      </c>
      <c r="AA14" s="9">
        <v>1278</v>
      </c>
      <c r="AB14" s="9">
        <v>1039</v>
      </c>
      <c r="AC14" s="9">
        <v>1298</v>
      </c>
      <c r="AD14" s="9">
        <v>1303</v>
      </c>
      <c r="AE14" s="9">
        <v>1201</v>
      </c>
      <c r="AF14" s="9">
        <v>1179</v>
      </c>
      <c r="AG14" s="9">
        <v>1311</v>
      </c>
      <c r="AH14" s="9">
        <v>1283</v>
      </c>
      <c r="AI14" s="9">
        <v>1225</v>
      </c>
      <c r="AJ14" s="9">
        <v>1116</v>
      </c>
      <c r="AK14" s="9">
        <v>1245</v>
      </c>
      <c r="AL14" s="9">
        <v>1213</v>
      </c>
      <c r="AM14" s="9">
        <v>1147</v>
      </c>
    </row>
    <row r="15" spans="1:39" x14ac:dyDescent="0.25">
      <c r="A15" s="5" t="s">
        <v>65</v>
      </c>
      <c r="B15" s="7">
        <v>4</v>
      </c>
      <c r="C15" s="7">
        <v>4</v>
      </c>
      <c r="D15" s="8">
        <v>1</v>
      </c>
      <c r="E15" s="7">
        <v>3</v>
      </c>
      <c r="F15" s="7">
        <v>1</v>
      </c>
      <c r="G15" s="7">
        <v>3</v>
      </c>
      <c r="H15" s="8">
        <v>1</v>
      </c>
      <c r="I15" s="7">
        <v>4</v>
      </c>
      <c r="J15" s="9">
        <v>-3</v>
      </c>
      <c r="K15" s="9">
        <v>2</v>
      </c>
      <c r="L15" s="8">
        <v>1</v>
      </c>
      <c r="M15" s="9">
        <v>5</v>
      </c>
      <c r="N15" s="9">
        <v>4</v>
      </c>
      <c r="O15" s="9">
        <v>2</v>
      </c>
      <c r="P15" s="9">
        <v>2</v>
      </c>
      <c r="Q15" s="9">
        <v>3</v>
      </c>
      <c r="R15" s="9">
        <v>5</v>
      </c>
      <c r="S15" s="9">
        <v>4</v>
      </c>
      <c r="T15" s="9">
        <v>2</v>
      </c>
      <c r="U15" s="9">
        <v>4</v>
      </c>
      <c r="V15" s="9">
        <v>2</v>
      </c>
      <c r="W15" s="9">
        <v>3</v>
      </c>
      <c r="X15" s="9">
        <v>1</v>
      </c>
      <c r="Y15" s="9">
        <v>2</v>
      </c>
      <c r="Z15" s="9">
        <v>2</v>
      </c>
      <c r="AA15" s="9">
        <v>3</v>
      </c>
      <c r="AB15" s="9">
        <v>1</v>
      </c>
      <c r="AC15" s="9">
        <v>2</v>
      </c>
      <c r="AD15" s="9">
        <v>3</v>
      </c>
      <c r="AE15" s="9">
        <v>2</v>
      </c>
      <c r="AF15" s="9">
        <v>0</v>
      </c>
      <c r="AG15" s="9">
        <v>8</v>
      </c>
      <c r="AH15" s="9">
        <v>16</v>
      </c>
      <c r="AI15" s="9">
        <v>18</v>
      </c>
      <c r="AJ15" s="9">
        <v>13</v>
      </c>
      <c r="AK15" s="9">
        <v>15</v>
      </c>
      <c r="AL15" s="9">
        <v>16</v>
      </c>
      <c r="AM15" s="9">
        <v>18</v>
      </c>
    </row>
    <row r="16" spans="1:39" x14ac:dyDescent="0.25">
      <c r="A16" s="5" t="s">
        <v>62</v>
      </c>
      <c r="B16" s="7">
        <v>78</v>
      </c>
      <c r="C16" s="7">
        <v>1299</v>
      </c>
      <c r="D16" s="8">
        <v>1339</v>
      </c>
      <c r="E16" s="7">
        <v>1434</v>
      </c>
      <c r="F16" s="7">
        <v>1524</v>
      </c>
      <c r="G16" s="7">
        <v>1624</v>
      </c>
      <c r="H16" s="8">
        <v>1437</v>
      </c>
      <c r="I16" s="7">
        <v>1430</v>
      </c>
      <c r="J16" s="9">
        <v>1290</v>
      </c>
      <c r="K16" s="9">
        <v>1292</v>
      </c>
      <c r="L16" s="8">
        <v>916</v>
      </c>
      <c r="M16" s="9">
        <v>1583</v>
      </c>
      <c r="N16" s="9">
        <v>1127</v>
      </c>
      <c r="O16" s="9">
        <v>891</v>
      </c>
      <c r="P16" s="9">
        <v>1347</v>
      </c>
      <c r="Q16" s="9">
        <v>1543</v>
      </c>
      <c r="R16" s="9">
        <v>1857</v>
      </c>
      <c r="S16" s="9">
        <v>602</v>
      </c>
      <c r="T16" s="9">
        <v>523</v>
      </c>
      <c r="U16" s="9">
        <v>1429</v>
      </c>
      <c r="V16" s="9">
        <v>1583</v>
      </c>
      <c r="W16" s="9">
        <v>1323</v>
      </c>
      <c r="X16" s="9">
        <v>1155</v>
      </c>
      <c r="Y16" s="9">
        <v>1329</v>
      </c>
      <c r="Z16" s="9">
        <v>1291</v>
      </c>
      <c r="AA16" s="9">
        <v>1275</v>
      </c>
      <c r="AB16" s="9">
        <v>1038</v>
      </c>
      <c r="AC16" s="9">
        <v>1296</v>
      </c>
      <c r="AD16" s="9">
        <v>1300</v>
      </c>
      <c r="AE16" s="9">
        <v>1199</v>
      </c>
      <c r="AF16" s="9">
        <v>1179</v>
      </c>
      <c r="AG16" s="9">
        <v>1303</v>
      </c>
      <c r="AH16" s="9">
        <v>1267</v>
      </c>
      <c r="AI16" s="9">
        <v>1207</v>
      </c>
      <c r="AJ16" s="9">
        <v>1103</v>
      </c>
      <c r="AK16" s="9">
        <v>1230</v>
      </c>
      <c r="AL16" s="9">
        <v>1197</v>
      </c>
      <c r="AM16" s="9">
        <v>1129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6A65-229D-4102-8578-2FA1C41D6373}">
  <dimension ref="A1:P150"/>
  <sheetViews>
    <sheetView workbookViewId="0">
      <pane ySplit="1" topLeftCell="A79" activePane="bottomLeft" state="frozen"/>
      <selection pane="bottomLeft" activeCell="J87" sqref="J87:P94"/>
    </sheetView>
  </sheetViews>
  <sheetFormatPr baseColWidth="10" defaultRowHeight="15" x14ac:dyDescent="0.25"/>
  <cols>
    <col min="1" max="1" width="39.42578125" bestFit="1" customWidth="1"/>
    <col min="2" max="2" width="10.28515625" customWidth="1"/>
    <col min="3" max="3" width="9.140625" bestFit="1" customWidth="1"/>
    <col min="5" max="5" width="25" bestFit="1" customWidth="1"/>
    <col min="6" max="6" width="17.28515625" bestFit="1" customWidth="1"/>
    <col min="7" max="7" width="10.85546875" bestFit="1" customWidth="1"/>
    <col min="10" max="10" width="39.42578125" bestFit="1" customWidth="1"/>
  </cols>
  <sheetData>
    <row r="1" spans="1:7" x14ac:dyDescent="0.25">
      <c r="A1" s="22" t="s">
        <v>75</v>
      </c>
      <c r="B1" t="s">
        <v>76</v>
      </c>
      <c r="C1" t="s">
        <v>10</v>
      </c>
      <c r="D1" t="s">
        <v>12</v>
      </c>
      <c r="E1" t="s">
        <v>66</v>
      </c>
      <c r="F1" t="s">
        <v>49</v>
      </c>
      <c r="G1" t="s">
        <v>11</v>
      </c>
    </row>
    <row r="2" spans="1:7" x14ac:dyDescent="0.25">
      <c r="A2" t="s">
        <v>67</v>
      </c>
      <c r="B2" t="s">
        <v>8</v>
      </c>
      <c r="C2">
        <v>1692</v>
      </c>
      <c r="D2">
        <v>822</v>
      </c>
      <c r="E2" s="24">
        <v>551</v>
      </c>
      <c r="F2">
        <v>-1</v>
      </c>
      <c r="G2" s="24">
        <v>3064</v>
      </c>
    </row>
    <row r="3" spans="1:7" x14ac:dyDescent="0.25">
      <c r="A3" t="s">
        <v>68</v>
      </c>
      <c r="B3" t="s">
        <v>8</v>
      </c>
      <c r="C3">
        <v>699</v>
      </c>
      <c r="D3">
        <v>1413</v>
      </c>
      <c r="E3" s="24">
        <v>195</v>
      </c>
      <c r="F3">
        <v>-1</v>
      </c>
      <c r="G3" s="24">
        <v>2306</v>
      </c>
    </row>
    <row r="4" spans="1:7" x14ac:dyDescent="0.25">
      <c r="A4" t="s">
        <v>69</v>
      </c>
      <c r="B4" t="s">
        <v>8</v>
      </c>
      <c r="C4">
        <v>1334</v>
      </c>
      <c r="D4">
        <v>421</v>
      </c>
      <c r="E4" s="24">
        <v>520</v>
      </c>
      <c r="F4">
        <v>0</v>
      </c>
      <c r="G4" s="24">
        <v>2275</v>
      </c>
    </row>
    <row r="5" spans="1:7" x14ac:dyDescent="0.25">
      <c r="A5" t="s">
        <v>70</v>
      </c>
      <c r="B5" t="s">
        <v>8</v>
      </c>
      <c r="C5">
        <v>1055</v>
      </c>
      <c r="D5">
        <v>255</v>
      </c>
      <c r="E5" s="24">
        <v>166</v>
      </c>
      <c r="F5">
        <v>0</v>
      </c>
      <c r="G5" s="24">
        <v>1476</v>
      </c>
    </row>
    <row r="6" spans="1:7" x14ac:dyDescent="0.25">
      <c r="A6" t="s">
        <v>4</v>
      </c>
      <c r="B6" t="s">
        <v>8</v>
      </c>
      <c r="C6">
        <v>0</v>
      </c>
      <c r="D6">
        <v>0</v>
      </c>
      <c r="E6" s="24">
        <v>0</v>
      </c>
      <c r="F6">
        <v>0</v>
      </c>
      <c r="G6" s="24">
        <v>0</v>
      </c>
    </row>
    <row r="7" spans="1:7" x14ac:dyDescent="0.25">
      <c r="A7" t="s">
        <v>63</v>
      </c>
      <c r="B7" t="s">
        <v>8</v>
      </c>
      <c r="C7" s="24">
        <v>-285</v>
      </c>
      <c r="D7" s="24">
        <v>-377</v>
      </c>
      <c r="E7" s="24">
        <v>151</v>
      </c>
      <c r="F7" s="24">
        <v>2</v>
      </c>
      <c r="G7" s="24">
        <v>-509</v>
      </c>
    </row>
    <row r="8" spans="1:7" x14ac:dyDescent="0.25">
      <c r="A8" t="s">
        <v>5</v>
      </c>
      <c r="B8" t="s">
        <v>8</v>
      </c>
      <c r="C8" s="24">
        <v>4495</v>
      </c>
      <c r="D8" s="24">
        <v>2534</v>
      </c>
      <c r="E8" s="24">
        <v>1583</v>
      </c>
      <c r="F8" s="24">
        <v>0</v>
      </c>
      <c r="G8" s="24">
        <v>8612</v>
      </c>
    </row>
    <row r="9" spans="1:7" x14ac:dyDescent="0.25">
      <c r="A9" t="s">
        <v>67</v>
      </c>
      <c r="B9" t="s">
        <v>9</v>
      </c>
      <c r="C9">
        <v>1710</v>
      </c>
      <c r="D9">
        <v>828</v>
      </c>
      <c r="E9">
        <v>698</v>
      </c>
      <c r="F9">
        <v>-1</v>
      </c>
      <c r="G9">
        <v>3235</v>
      </c>
    </row>
    <row r="10" spans="1:7" x14ac:dyDescent="0.25">
      <c r="A10" t="s">
        <v>68</v>
      </c>
      <c r="B10" t="s">
        <v>9</v>
      </c>
      <c r="C10">
        <v>728</v>
      </c>
      <c r="D10">
        <v>1367</v>
      </c>
      <c r="E10">
        <v>355</v>
      </c>
      <c r="F10">
        <v>0</v>
      </c>
      <c r="G10">
        <v>2450</v>
      </c>
    </row>
    <row r="11" spans="1:7" x14ac:dyDescent="0.25">
      <c r="A11" t="s">
        <v>69</v>
      </c>
      <c r="B11" t="s">
        <v>9</v>
      </c>
      <c r="C11">
        <v>1357</v>
      </c>
      <c r="D11">
        <v>425</v>
      </c>
      <c r="E11">
        <v>467</v>
      </c>
      <c r="F11">
        <v>0</v>
      </c>
      <c r="G11">
        <v>2249</v>
      </c>
    </row>
    <row r="12" spans="1:7" x14ac:dyDescent="0.25">
      <c r="A12" t="s">
        <v>70</v>
      </c>
      <c r="B12" t="s">
        <v>9</v>
      </c>
      <c r="C12">
        <v>1135</v>
      </c>
      <c r="D12">
        <v>241</v>
      </c>
      <c r="E12">
        <v>149</v>
      </c>
      <c r="F12">
        <v>0</v>
      </c>
      <c r="G12">
        <v>1525</v>
      </c>
    </row>
    <row r="13" spans="1:7" x14ac:dyDescent="0.25">
      <c r="A13" t="s">
        <v>4</v>
      </c>
      <c r="B13" t="s">
        <v>9</v>
      </c>
      <c r="C13">
        <v>1</v>
      </c>
      <c r="D13">
        <v>0</v>
      </c>
      <c r="E13">
        <v>1</v>
      </c>
      <c r="F13">
        <v>1</v>
      </c>
      <c r="G13">
        <v>3</v>
      </c>
    </row>
    <row r="14" spans="1:7" x14ac:dyDescent="0.25">
      <c r="A14" t="s">
        <v>63</v>
      </c>
      <c r="B14" t="s">
        <v>9</v>
      </c>
      <c r="C14">
        <v>-239</v>
      </c>
      <c r="D14">
        <v>-219</v>
      </c>
      <c r="E14">
        <v>-62</v>
      </c>
      <c r="F14">
        <v>0</v>
      </c>
      <c r="G14">
        <v>-520</v>
      </c>
    </row>
    <row r="15" spans="1:7" x14ac:dyDescent="0.25">
      <c r="A15" t="s">
        <v>5</v>
      </c>
      <c r="B15" t="s">
        <v>9</v>
      </c>
      <c r="C15">
        <v>4692</v>
      </c>
      <c r="D15">
        <v>2642</v>
      </c>
      <c r="E15">
        <v>1608</v>
      </c>
      <c r="F15">
        <v>0</v>
      </c>
      <c r="G15">
        <v>8942</v>
      </c>
    </row>
    <row r="16" spans="1:7" x14ac:dyDescent="0.25">
      <c r="A16" t="s">
        <v>67</v>
      </c>
      <c r="B16" t="s">
        <v>14</v>
      </c>
      <c r="C16">
        <v>1670</v>
      </c>
      <c r="D16">
        <v>814</v>
      </c>
      <c r="E16">
        <v>770</v>
      </c>
      <c r="F16">
        <v>0</v>
      </c>
      <c r="G16">
        <v>3254</v>
      </c>
    </row>
    <row r="17" spans="1:7" x14ac:dyDescent="0.25">
      <c r="A17" t="s">
        <v>68</v>
      </c>
      <c r="B17" t="s">
        <v>14</v>
      </c>
      <c r="C17">
        <v>718</v>
      </c>
      <c r="D17">
        <v>1382</v>
      </c>
      <c r="E17">
        <v>383</v>
      </c>
      <c r="F17">
        <v>-1</v>
      </c>
      <c r="G17">
        <v>2482</v>
      </c>
    </row>
    <row r="18" spans="1:7" x14ac:dyDescent="0.25">
      <c r="A18" t="s">
        <v>69</v>
      </c>
      <c r="B18" t="s">
        <v>14</v>
      </c>
      <c r="C18">
        <v>1333</v>
      </c>
      <c r="D18">
        <v>430</v>
      </c>
      <c r="E18">
        <v>516</v>
      </c>
      <c r="F18">
        <v>-1</v>
      </c>
      <c r="G18">
        <v>2278</v>
      </c>
    </row>
    <row r="19" spans="1:7" x14ac:dyDescent="0.25">
      <c r="A19" t="s">
        <v>70</v>
      </c>
      <c r="B19" t="s">
        <v>14</v>
      </c>
      <c r="C19">
        <v>1081</v>
      </c>
      <c r="D19">
        <v>246</v>
      </c>
      <c r="E19">
        <v>155</v>
      </c>
      <c r="F19">
        <v>0</v>
      </c>
      <c r="G19">
        <v>1482</v>
      </c>
    </row>
    <row r="20" spans="1:7" x14ac:dyDescent="0.25">
      <c r="A20" t="s">
        <v>4</v>
      </c>
      <c r="B20" t="s">
        <v>14</v>
      </c>
      <c r="C20">
        <v>1</v>
      </c>
      <c r="D20">
        <v>0</v>
      </c>
      <c r="E20">
        <v>0</v>
      </c>
      <c r="F20">
        <v>0</v>
      </c>
      <c r="G20">
        <v>1</v>
      </c>
    </row>
    <row r="21" spans="1:7" x14ac:dyDescent="0.25">
      <c r="A21" t="s">
        <v>63</v>
      </c>
      <c r="B21" t="s">
        <v>14</v>
      </c>
      <c r="C21">
        <v>-221</v>
      </c>
      <c r="D21">
        <v>-217</v>
      </c>
      <c r="E21">
        <v>-110</v>
      </c>
      <c r="F21">
        <v>1</v>
      </c>
      <c r="G21">
        <v>-547</v>
      </c>
    </row>
    <row r="22" spans="1:7" x14ac:dyDescent="0.25">
      <c r="A22" t="s">
        <v>5</v>
      </c>
      <c r="B22" t="s">
        <v>14</v>
      </c>
      <c r="C22">
        <v>4582</v>
      </c>
      <c r="D22">
        <v>2655</v>
      </c>
      <c r="E22">
        <v>1714</v>
      </c>
      <c r="F22">
        <v>-1</v>
      </c>
      <c r="G22">
        <v>8950</v>
      </c>
    </row>
    <row r="23" spans="1:7" x14ac:dyDescent="0.25">
      <c r="A23" t="s">
        <v>67</v>
      </c>
      <c r="B23" t="s">
        <v>15</v>
      </c>
      <c r="C23">
        <v>1697</v>
      </c>
      <c r="D23">
        <v>823</v>
      </c>
      <c r="E23">
        <v>807</v>
      </c>
      <c r="F23">
        <v>0</v>
      </c>
      <c r="G23">
        <v>3327</v>
      </c>
    </row>
    <row r="24" spans="1:7" x14ac:dyDescent="0.25">
      <c r="A24" t="s">
        <v>68</v>
      </c>
      <c r="B24" t="s">
        <v>15</v>
      </c>
      <c r="C24">
        <v>650</v>
      </c>
      <c r="D24">
        <v>1490</v>
      </c>
      <c r="E24">
        <v>391</v>
      </c>
      <c r="F24">
        <v>0</v>
      </c>
      <c r="G24">
        <v>2531</v>
      </c>
    </row>
    <row r="25" spans="1:7" x14ac:dyDescent="0.25">
      <c r="A25" t="s">
        <v>69</v>
      </c>
      <c r="B25" t="s">
        <v>15</v>
      </c>
      <c r="C25">
        <v>1311</v>
      </c>
      <c r="D25">
        <v>408</v>
      </c>
      <c r="E25">
        <v>529</v>
      </c>
      <c r="F25">
        <v>0</v>
      </c>
      <c r="G25">
        <v>2248</v>
      </c>
    </row>
    <row r="26" spans="1:7" x14ac:dyDescent="0.25">
      <c r="A26" t="s">
        <v>70</v>
      </c>
      <c r="B26" t="s">
        <v>15</v>
      </c>
      <c r="C26">
        <v>949</v>
      </c>
      <c r="D26">
        <v>278</v>
      </c>
      <c r="E26">
        <v>146</v>
      </c>
      <c r="F26">
        <v>0</v>
      </c>
      <c r="G26">
        <v>1373</v>
      </c>
    </row>
    <row r="27" spans="1:7" x14ac:dyDescent="0.25">
      <c r="A27" t="s">
        <v>4</v>
      </c>
      <c r="B27" t="s">
        <v>15</v>
      </c>
      <c r="C27">
        <v>-1</v>
      </c>
      <c r="D27">
        <v>0</v>
      </c>
      <c r="E27">
        <v>0</v>
      </c>
      <c r="F27">
        <v>-1</v>
      </c>
      <c r="G27">
        <v>-2</v>
      </c>
    </row>
    <row r="28" spans="1:7" x14ac:dyDescent="0.25">
      <c r="A28" t="s">
        <v>63</v>
      </c>
      <c r="B28" t="s">
        <v>15</v>
      </c>
      <c r="C28">
        <v>-278</v>
      </c>
      <c r="D28">
        <v>-230</v>
      </c>
      <c r="E28">
        <v>-118</v>
      </c>
      <c r="F28">
        <v>0</v>
      </c>
      <c r="G28">
        <v>-626</v>
      </c>
    </row>
    <row r="29" spans="1:7" x14ac:dyDescent="0.25">
      <c r="A29" t="s">
        <v>5</v>
      </c>
      <c r="B29" t="s">
        <v>15</v>
      </c>
      <c r="C29">
        <v>4328</v>
      </c>
      <c r="D29">
        <v>2769</v>
      </c>
      <c r="E29">
        <v>1755</v>
      </c>
      <c r="F29">
        <v>-1</v>
      </c>
      <c r="G29">
        <v>8851</v>
      </c>
    </row>
    <row r="30" spans="1:7" x14ac:dyDescent="0.25">
      <c r="A30" t="s">
        <v>67</v>
      </c>
      <c r="B30" t="s">
        <v>16</v>
      </c>
      <c r="C30">
        <v>1677</v>
      </c>
      <c r="D30">
        <v>742</v>
      </c>
      <c r="E30">
        <v>753</v>
      </c>
      <c r="F30">
        <v>-6</v>
      </c>
      <c r="G30">
        <v>3166</v>
      </c>
    </row>
    <row r="31" spans="1:7" x14ac:dyDescent="0.25">
      <c r="A31" t="s">
        <v>68</v>
      </c>
      <c r="B31" t="s">
        <v>16</v>
      </c>
      <c r="C31">
        <v>607</v>
      </c>
      <c r="D31">
        <v>1386</v>
      </c>
      <c r="E31">
        <v>349</v>
      </c>
      <c r="F31">
        <v>-7</v>
      </c>
      <c r="G31">
        <v>2335</v>
      </c>
    </row>
    <row r="32" spans="1:7" x14ac:dyDescent="0.25">
      <c r="A32" t="s">
        <v>69</v>
      </c>
      <c r="B32" t="s">
        <v>16</v>
      </c>
      <c r="C32">
        <v>1372</v>
      </c>
      <c r="D32">
        <v>387</v>
      </c>
      <c r="E32">
        <v>503</v>
      </c>
      <c r="F32">
        <v>-4</v>
      </c>
      <c r="G32">
        <v>2258</v>
      </c>
    </row>
    <row r="33" spans="1:7" x14ac:dyDescent="0.25">
      <c r="A33" t="s">
        <v>70</v>
      </c>
      <c r="B33" t="s">
        <v>16</v>
      </c>
      <c r="C33">
        <v>1031</v>
      </c>
      <c r="D33">
        <v>242</v>
      </c>
      <c r="E33">
        <v>172</v>
      </c>
      <c r="F33">
        <v>-2</v>
      </c>
      <c r="G33">
        <v>1443</v>
      </c>
    </row>
    <row r="34" spans="1:7" x14ac:dyDescent="0.25">
      <c r="A34" t="s">
        <v>4</v>
      </c>
      <c r="B34" t="s">
        <v>16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t="s">
        <v>63</v>
      </c>
      <c r="B35" t="s">
        <v>16</v>
      </c>
      <c r="C35">
        <v>-284</v>
      </c>
      <c r="D35">
        <v>-217</v>
      </c>
      <c r="E35">
        <v>-118</v>
      </c>
      <c r="F35">
        <v>0</v>
      </c>
      <c r="G35">
        <v>-619</v>
      </c>
    </row>
    <row r="36" spans="1:7" x14ac:dyDescent="0.25">
      <c r="A36" t="s">
        <v>5</v>
      </c>
      <c r="B36" t="s">
        <v>16</v>
      </c>
      <c r="C36">
        <v>4403</v>
      </c>
      <c r="D36">
        <v>2540</v>
      </c>
      <c r="E36">
        <v>1659</v>
      </c>
      <c r="F36">
        <v>-19</v>
      </c>
      <c r="G36">
        <v>8583</v>
      </c>
    </row>
    <row r="37" spans="1:7" x14ac:dyDescent="0.25">
      <c r="A37" t="s">
        <v>67</v>
      </c>
      <c r="B37" t="s">
        <v>17</v>
      </c>
      <c r="C37">
        <v>1618</v>
      </c>
      <c r="D37">
        <v>702</v>
      </c>
      <c r="E37">
        <v>696</v>
      </c>
      <c r="F37">
        <v>1</v>
      </c>
      <c r="G37">
        <v>3017</v>
      </c>
    </row>
    <row r="38" spans="1:7" x14ac:dyDescent="0.25">
      <c r="A38" t="s">
        <v>68</v>
      </c>
      <c r="B38" t="s">
        <v>17</v>
      </c>
      <c r="C38">
        <v>641</v>
      </c>
      <c r="D38">
        <v>1358</v>
      </c>
      <c r="E38">
        <v>317</v>
      </c>
      <c r="F38">
        <v>0</v>
      </c>
      <c r="G38">
        <v>2316</v>
      </c>
    </row>
    <row r="39" spans="1:7" x14ac:dyDescent="0.25">
      <c r="A39" t="s">
        <v>69</v>
      </c>
      <c r="B39" t="s">
        <v>17</v>
      </c>
      <c r="C39">
        <v>1335</v>
      </c>
      <c r="D39">
        <v>377</v>
      </c>
      <c r="E39">
        <v>447</v>
      </c>
      <c r="F39">
        <v>1</v>
      </c>
      <c r="G39">
        <v>2160</v>
      </c>
    </row>
    <row r="40" spans="1:7" x14ac:dyDescent="0.25">
      <c r="A40" t="s">
        <v>70</v>
      </c>
      <c r="B40" t="s">
        <v>17</v>
      </c>
      <c r="C40">
        <v>1032</v>
      </c>
      <c r="D40">
        <v>231</v>
      </c>
      <c r="E40">
        <v>148</v>
      </c>
      <c r="F40">
        <v>1</v>
      </c>
      <c r="G40">
        <v>1412</v>
      </c>
    </row>
    <row r="41" spans="1:7" x14ac:dyDescent="0.25">
      <c r="A41" t="s">
        <v>4</v>
      </c>
      <c r="B41" t="s">
        <v>17</v>
      </c>
      <c r="C41">
        <v>0</v>
      </c>
      <c r="D41">
        <v>0</v>
      </c>
      <c r="E41">
        <v>0</v>
      </c>
      <c r="F41">
        <v>-2</v>
      </c>
      <c r="G41">
        <v>-2</v>
      </c>
    </row>
    <row r="42" spans="1:7" x14ac:dyDescent="0.25">
      <c r="A42" t="s">
        <v>63</v>
      </c>
      <c r="B42" t="s">
        <v>17</v>
      </c>
      <c r="C42">
        <v>-279</v>
      </c>
      <c r="D42">
        <v>-194</v>
      </c>
      <c r="E42">
        <v>-80</v>
      </c>
      <c r="F42">
        <v>0</v>
      </c>
      <c r="G42">
        <v>-553</v>
      </c>
    </row>
    <row r="43" spans="1:7" x14ac:dyDescent="0.25">
      <c r="A43" t="s">
        <v>5</v>
      </c>
      <c r="B43" t="s">
        <v>17</v>
      </c>
      <c r="C43">
        <v>4347</v>
      </c>
      <c r="D43">
        <v>2474</v>
      </c>
      <c r="E43">
        <v>1528</v>
      </c>
      <c r="F43">
        <v>1</v>
      </c>
      <c r="G43">
        <v>8350</v>
      </c>
    </row>
    <row r="44" spans="1:7" x14ac:dyDescent="0.25">
      <c r="A44" t="s">
        <v>67</v>
      </c>
      <c r="B44" t="s">
        <v>18</v>
      </c>
      <c r="C44">
        <v>1365</v>
      </c>
      <c r="D44">
        <v>649</v>
      </c>
      <c r="E44">
        <v>644</v>
      </c>
      <c r="F44">
        <v>-1</v>
      </c>
      <c r="G44">
        <v>2657</v>
      </c>
    </row>
    <row r="45" spans="1:7" x14ac:dyDescent="0.25">
      <c r="A45" t="s">
        <v>68</v>
      </c>
      <c r="B45" t="s">
        <v>18</v>
      </c>
      <c r="C45">
        <v>532</v>
      </c>
      <c r="D45">
        <v>1151</v>
      </c>
      <c r="E45">
        <v>254</v>
      </c>
      <c r="F45">
        <v>0</v>
      </c>
      <c r="G45">
        <v>1937</v>
      </c>
    </row>
    <row r="46" spans="1:7" x14ac:dyDescent="0.25">
      <c r="A46" t="s">
        <v>69</v>
      </c>
      <c r="B46" t="s">
        <v>18</v>
      </c>
      <c r="C46">
        <v>1074</v>
      </c>
      <c r="D46">
        <v>358</v>
      </c>
      <c r="E46">
        <v>392</v>
      </c>
      <c r="F46">
        <v>-1</v>
      </c>
      <c r="G46">
        <v>1823</v>
      </c>
    </row>
    <row r="47" spans="1:7" x14ac:dyDescent="0.25">
      <c r="A47" t="s">
        <v>70</v>
      </c>
      <c r="B47" t="s">
        <v>18</v>
      </c>
      <c r="C47">
        <v>895</v>
      </c>
      <c r="D47">
        <v>216</v>
      </c>
      <c r="E47">
        <v>120</v>
      </c>
      <c r="F47">
        <v>0</v>
      </c>
      <c r="G47">
        <v>1231</v>
      </c>
    </row>
    <row r="48" spans="1:7" x14ac:dyDescent="0.25">
      <c r="A48" t="s">
        <v>4</v>
      </c>
      <c r="B48" t="s">
        <v>18</v>
      </c>
      <c r="C48">
        <v>-2</v>
      </c>
      <c r="D48">
        <v>0</v>
      </c>
      <c r="E48">
        <v>0</v>
      </c>
      <c r="F48">
        <v>3</v>
      </c>
      <c r="G48">
        <v>1</v>
      </c>
    </row>
    <row r="49" spans="1:7" x14ac:dyDescent="0.25">
      <c r="A49" t="s">
        <v>63</v>
      </c>
      <c r="B49" t="s">
        <v>18</v>
      </c>
      <c r="C49">
        <v>-231</v>
      </c>
      <c r="D49">
        <v>-164</v>
      </c>
      <c r="E49">
        <v>-78</v>
      </c>
      <c r="F49">
        <v>0</v>
      </c>
      <c r="G49">
        <v>-473</v>
      </c>
    </row>
    <row r="50" spans="1:7" x14ac:dyDescent="0.25">
      <c r="A50" t="s">
        <v>5</v>
      </c>
      <c r="B50" t="s">
        <v>18</v>
      </c>
      <c r="C50">
        <v>3633</v>
      </c>
      <c r="D50">
        <v>2210</v>
      </c>
      <c r="E50">
        <v>1332</v>
      </c>
      <c r="F50">
        <v>1</v>
      </c>
      <c r="G50">
        <v>7176</v>
      </c>
    </row>
    <row r="51" spans="1:7" x14ac:dyDescent="0.25">
      <c r="A51" t="s">
        <v>67</v>
      </c>
      <c r="B51" t="s">
        <v>19</v>
      </c>
      <c r="C51">
        <v>1517</v>
      </c>
      <c r="D51">
        <v>712</v>
      </c>
      <c r="E51">
        <v>698</v>
      </c>
      <c r="F51">
        <v>0</v>
      </c>
      <c r="G51">
        <v>2927</v>
      </c>
    </row>
    <row r="52" spans="1:7" x14ac:dyDescent="0.25">
      <c r="A52" t="s">
        <v>68</v>
      </c>
      <c r="B52" t="s">
        <v>19</v>
      </c>
      <c r="C52">
        <v>675</v>
      </c>
      <c r="D52">
        <v>1202</v>
      </c>
      <c r="E52">
        <v>362</v>
      </c>
      <c r="F52">
        <v>0</v>
      </c>
      <c r="G52">
        <v>2239</v>
      </c>
    </row>
    <row r="53" spans="1:7" x14ac:dyDescent="0.25">
      <c r="A53" t="s">
        <v>69</v>
      </c>
      <c r="B53" t="s">
        <v>19</v>
      </c>
      <c r="C53">
        <v>1281</v>
      </c>
      <c r="D53">
        <v>356</v>
      </c>
      <c r="E53">
        <v>467</v>
      </c>
      <c r="F53">
        <v>0</v>
      </c>
      <c r="G53">
        <v>2104</v>
      </c>
    </row>
    <row r="54" spans="1:7" x14ac:dyDescent="0.25">
      <c r="A54" t="s">
        <v>70</v>
      </c>
      <c r="B54" t="s">
        <v>19</v>
      </c>
      <c r="C54">
        <v>874</v>
      </c>
      <c r="D54">
        <v>250</v>
      </c>
      <c r="E54">
        <v>127</v>
      </c>
      <c r="F54">
        <v>-1</v>
      </c>
      <c r="G54">
        <v>1250</v>
      </c>
    </row>
    <row r="55" spans="1:7" x14ac:dyDescent="0.25">
      <c r="A55" t="s">
        <v>4</v>
      </c>
      <c r="B55" t="s">
        <v>19</v>
      </c>
      <c r="C55">
        <v>1</v>
      </c>
      <c r="D55">
        <v>0</v>
      </c>
      <c r="E55">
        <v>0</v>
      </c>
      <c r="F55">
        <v>-1</v>
      </c>
      <c r="G55">
        <v>0</v>
      </c>
    </row>
    <row r="56" spans="1:7" x14ac:dyDescent="0.25">
      <c r="A56" t="s">
        <v>63</v>
      </c>
      <c r="B56" t="s">
        <v>19</v>
      </c>
      <c r="C56">
        <v>-206</v>
      </c>
      <c r="D56">
        <v>-175</v>
      </c>
      <c r="E56">
        <v>-64</v>
      </c>
      <c r="F56">
        <v>0</v>
      </c>
      <c r="G56">
        <v>-445</v>
      </c>
    </row>
    <row r="57" spans="1:7" x14ac:dyDescent="0.25">
      <c r="A57" t="s">
        <v>5</v>
      </c>
      <c r="B57" t="s">
        <v>19</v>
      </c>
      <c r="C57">
        <v>4142</v>
      </c>
      <c r="D57">
        <v>2345</v>
      </c>
      <c r="E57">
        <v>1590</v>
      </c>
      <c r="F57">
        <v>-2</v>
      </c>
      <c r="G57">
        <v>8075</v>
      </c>
    </row>
    <row r="58" spans="1:7" x14ac:dyDescent="0.25">
      <c r="A58" t="s">
        <v>67</v>
      </c>
      <c r="B58" t="s">
        <v>20</v>
      </c>
      <c r="C58">
        <v>1491</v>
      </c>
      <c r="D58">
        <v>687</v>
      </c>
      <c r="E58">
        <v>637</v>
      </c>
      <c r="F58">
        <v>-4</v>
      </c>
      <c r="G58">
        <v>2811</v>
      </c>
    </row>
    <row r="59" spans="1:7" x14ac:dyDescent="0.25">
      <c r="A59" t="s">
        <v>68</v>
      </c>
      <c r="B59" t="s">
        <v>20</v>
      </c>
      <c r="C59">
        <v>646</v>
      </c>
      <c r="D59">
        <v>1311</v>
      </c>
      <c r="E59">
        <v>334</v>
      </c>
      <c r="F59">
        <v>-1</v>
      </c>
      <c r="G59">
        <v>2290</v>
      </c>
    </row>
    <row r="60" spans="1:7" x14ac:dyDescent="0.25">
      <c r="A60" t="s">
        <v>69</v>
      </c>
      <c r="B60" t="s">
        <v>20</v>
      </c>
      <c r="C60">
        <v>1285</v>
      </c>
      <c r="D60">
        <v>369</v>
      </c>
      <c r="E60">
        <v>490</v>
      </c>
      <c r="F60">
        <v>-3</v>
      </c>
      <c r="G60">
        <v>2141</v>
      </c>
    </row>
    <row r="61" spans="1:7" x14ac:dyDescent="0.25">
      <c r="A61" t="s">
        <v>70</v>
      </c>
      <c r="B61" t="s">
        <v>20</v>
      </c>
      <c r="C61">
        <v>898</v>
      </c>
      <c r="D61">
        <v>239</v>
      </c>
      <c r="E61">
        <v>132</v>
      </c>
      <c r="F61">
        <v>-1</v>
      </c>
      <c r="G61">
        <v>1268</v>
      </c>
    </row>
    <row r="62" spans="1:7" x14ac:dyDescent="0.25">
      <c r="A62" t="s">
        <v>4</v>
      </c>
      <c r="B62" t="s">
        <v>20</v>
      </c>
      <c r="C62">
        <v>12</v>
      </c>
      <c r="D62">
        <v>-1</v>
      </c>
      <c r="E62">
        <v>0</v>
      </c>
      <c r="F62">
        <v>1</v>
      </c>
      <c r="G62">
        <v>12</v>
      </c>
    </row>
    <row r="63" spans="1:7" x14ac:dyDescent="0.25">
      <c r="A63" t="s">
        <v>63</v>
      </c>
      <c r="B63" t="s">
        <v>20</v>
      </c>
      <c r="C63">
        <v>-170</v>
      </c>
      <c r="D63">
        <v>-192</v>
      </c>
      <c r="E63">
        <v>-49</v>
      </c>
      <c r="F63">
        <v>0</v>
      </c>
      <c r="G63">
        <v>-411</v>
      </c>
    </row>
    <row r="64" spans="1:7" x14ac:dyDescent="0.25">
      <c r="A64" t="s">
        <v>5</v>
      </c>
      <c r="B64" t="s">
        <v>20</v>
      </c>
      <c r="C64">
        <v>4162</v>
      </c>
      <c r="D64">
        <v>2413</v>
      </c>
      <c r="E64">
        <v>1544</v>
      </c>
      <c r="F64">
        <v>-8</v>
      </c>
      <c r="G64">
        <v>8111</v>
      </c>
    </row>
    <row r="65" spans="1:13" x14ac:dyDescent="0.25">
      <c r="A65" t="s">
        <v>67</v>
      </c>
      <c r="B65" t="s">
        <v>21</v>
      </c>
      <c r="C65">
        <v>1509</v>
      </c>
      <c r="D65">
        <v>713</v>
      </c>
      <c r="E65">
        <v>626</v>
      </c>
      <c r="F65">
        <v>1</v>
      </c>
      <c r="G65">
        <v>2849</v>
      </c>
    </row>
    <row r="66" spans="1:13" x14ac:dyDescent="0.25">
      <c r="A66" t="s">
        <v>68</v>
      </c>
      <c r="B66" t="s">
        <v>21</v>
      </c>
      <c r="C66">
        <v>751</v>
      </c>
      <c r="D66">
        <v>1390</v>
      </c>
      <c r="E66">
        <v>363</v>
      </c>
      <c r="F66">
        <v>-1</v>
      </c>
      <c r="G66">
        <v>2503</v>
      </c>
    </row>
    <row r="67" spans="1:13" x14ac:dyDescent="0.25">
      <c r="A67" t="s">
        <v>69</v>
      </c>
      <c r="B67" t="s">
        <v>21</v>
      </c>
      <c r="C67">
        <v>972</v>
      </c>
      <c r="D67">
        <v>360</v>
      </c>
      <c r="E67">
        <v>388</v>
      </c>
      <c r="F67">
        <v>1</v>
      </c>
      <c r="G67">
        <v>1721</v>
      </c>
    </row>
    <row r="68" spans="1:13" x14ac:dyDescent="0.25">
      <c r="A68" t="s">
        <v>70</v>
      </c>
      <c r="B68" t="s">
        <v>21</v>
      </c>
      <c r="C68">
        <v>955</v>
      </c>
      <c r="D68">
        <v>233</v>
      </c>
      <c r="E68">
        <v>136</v>
      </c>
      <c r="F68">
        <v>0</v>
      </c>
      <c r="G68">
        <v>1324</v>
      </c>
    </row>
    <row r="69" spans="1:13" x14ac:dyDescent="0.25">
      <c r="A69" t="s">
        <v>4</v>
      </c>
      <c r="B69" t="s">
        <v>21</v>
      </c>
      <c r="C69">
        <v>26</v>
      </c>
      <c r="D69">
        <v>1</v>
      </c>
      <c r="E69">
        <v>1</v>
      </c>
      <c r="F69">
        <v>0</v>
      </c>
      <c r="G69">
        <v>28</v>
      </c>
    </row>
    <row r="70" spans="1:13" x14ac:dyDescent="0.25">
      <c r="A70" t="s">
        <v>63</v>
      </c>
      <c r="B70" t="s">
        <v>21</v>
      </c>
      <c r="C70">
        <v>-177</v>
      </c>
      <c r="D70">
        <v>-207</v>
      </c>
      <c r="E70">
        <v>-49</v>
      </c>
      <c r="F70">
        <v>-1</v>
      </c>
      <c r="G70">
        <v>-434</v>
      </c>
    </row>
    <row r="71" spans="1:13" x14ac:dyDescent="0.25">
      <c r="A71" t="s">
        <v>5</v>
      </c>
      <c r="B71" t="s">
        <v>21</v>
      </c>
      <c r="C71">
        <v>4036</v>
      </c>
      <c r="D71">
        <v>2490</v>
      </c>
      <c r="E71">
        <v>1465</v>
      </c>
      <c r="F71">
        <v>0</v>
      </c>
      <c r="G71">
        <v>7991</v>
      </c>
    </row>
    <row r="72" spans="1:13" x14ac:dyDescent="0.25">
      <c r="A72" t="s">
        <v>67</v>
      </c>
      <c r="B72" t="s">
        <v>22</v>
      </c>
      <c r="C72">
        <v>1564</v>
      </c>
      <c r="D72">
        <v>709</v>
      </c>
      <c r="E72">
        <v>689</v>
      </c>
      <c r="F72">
        <v>-1</v>
      </c>
      <c r="G72">
        <v>2961</v>
      </c>
    </row>
    <row r="73" spans="1:13" x14ac:dyDescent="0.25">
      <c r="A73" t="s">
        <v>68</v>
      </c>
      <c r="B73" t="s">
        <v>22</v>
      </c>
      <c r="C73">
        <v>795</v>
      </c>
      <c r="D73">
        <v>1269</v>
      </c>
      <c r="E73">
        <v>389</v>
      </c>
      <c r="F73">
        <v>-1</v>
      </c>
      <c r="G73">
        <v>2452</v>
      </c>
    </row>
    <row r="74" spans="1:13" x14ac:dyDescent="0.25">
      <c r="A74" t="s">
        <v>69</v>
      </c>
      <c r="B74" t="s">
        <v>22</v>
      </c>
      <c r="C74">
        <v>1021</v>
      </c>
      <c r="D74">
        <v>383</v>
      </c>
      <c r="E74">
        <v>427</v>
      </c>
      <c r="F74">
        <v>0</v>
      </c>
      <c r="G74">
        <v>1831</v>
      </c>
    </row>
    <row r="75" spans="1:13" x14ac:dyDescent="0.25">
      <c r="A75" t="s">
        <v>70</v>
      </c>
      <c r="B75" t="s">
        <v>22</v>
      </c>
      <c r="C75">
        <v>921</v>
      </c>
      <c r="D75">
        <v>242</v>
      </c>
      <c r="E75">
        <v>140</v>
      </c>
      <c r="F75">
        <v>0</v>
      </c>
      <c r="G75">
        <v>1303</v>
      </c>
    </row>
    <row r="76" spans="1:13" x14ac:dyDescent="0.25">
      <c r="A76" t="s">
        <v>4</v>
      </c>
      <c r="B76" t="s">
        <v>22</v>
      </c>
      <c r="C76">
        <v>50</v>
      </c>
      <c r="D76">
        <v>-2</v>
      </c>
      <c r="E76">
        <v>-1</v>
      </c>
      <c r="F76">
        <v>1</v>
      </c>
      <c r="G76">
        <v>48</v>
      </c>
    </row>
    <row r="77" spans="1:13" x14ac:dyDescent="0.25">
      <c r="A77" t="s">
        <v>63</v>
      </c>
      <c r="B77" t="s">
        <v>22</v>
      </c>
      <c r="C77">
        <v>-188</v>
      </c>
      <c r="D77">
        <v>-186</v>
      </c>
      <c r="E77">
        <v>-51</v>
      </c>
      <c r="F77">
        <v>1</v>
      </c>
      <c r="G77">
        <v>-424</v>
      </c>
      <c r="H77" s="23"/>
      <c r="I77" s="23"/>
      <c r="J77" s="23"/>
      <c r="K77" s="23"/>
      <c r="L77" s="23"/>
      <c r="M77" s="23"/>
    </row>
    <row r="78" spans="1:13" x14ac:dyDescent="0.25">
      <c r="A78" t="s">
        <v>5</v>
      </c>
      <c r="B78" t="s">
        <v>22</v>
      </c>
      <c r="C78">
        <v>4163</v>
      </c>
      <c r="D78">
        <v>2415</v>
      </c>
      <c r="E78">
        <v>1593</v>
      </c>
      <c r="F78">
        <v>0</v>
      </c>
      <c r="G78">
        <v>8171</v>
      </c>
      <c r="H78" s="23"/>
      <c r="I78" s="23"/>
      <c r="J78" s="23"/>
      <c r="K78" s="23"/>
      <c r="L78" s="23"/>
      <c r="M78" s="23"/>
    </row>
    <row r="79" spans="1:13" x14ac:dyDescent="0.25">
      <c r="A79" t="s">
        <v>67</v>
      </c>
      <c r="B79" t="s">
        <v>23</v>
      </c>
      <c r="C79">
        <v>1498</v>
      </c>
      <c r="D79">
        <v>768</v>
      </c>
      <c r="E79">
        <v>720</v>
      </c>
      <c r="F79">
        <v>0</v>
      </c>
      <c r="G79">
        <v>2986</v>
      </c>
      <c r="H79" s="23"/>
      <c r="I79" s="23"/>
      <c r="J79" s="23"/>
      <c r="K79" s="23"/>
      <c r="L79" s="23"/>
      <c r="M79" s="23"/>
    </row>
    <row r="80" spans="1:13" x14ac:dyDescent="0.25">
      <c r="A80" t="s">
        <v>68</v>
      </c>
      <c r="B80" t="s">
        <v>23</v>
      </c>
      <c r="C80">
        <v>713</v>
      </c>
      <c r="D80">
        <v>1258</v>
      </c>
      <c r="E80">
        <v>386</v>
      </c>
      <c r="F80">
        <v>0</v>
      </c>
      <c r="G80">
        <v>2357</v>
      </c>
      <c r="H80" s="23"/>
      <c r="I80" s="23"/>
      <c r="J80" s="23"/>
      <c r="K80" s="23"/>
      <c r="L80" s="23"/>
      <c r="M80" s="23"/>
    </row>
    <row r="81" spans="1:16" x14ac:dyDescent="0.25">
      <c r="A81" t="s">
        <v>69</v>
      </c>
      <c r="B81" t="s">
        <v>23</v>
      </c>
      <c r="C81">
        <v>922</v>
      </c>
      <c r="D81">
        <v>378</v>
      </c>
      <c r="E81">
        <v>438</v>
      </c>
      <c r="F81">
        <v>0</v>
      </c>
      <c r="G81">
        <v>1738</v>
      </c>
      <c r="H81" s="23"/>
      <c r="I81" s="23"/>
      <c r="J81" s="23"/>
      <c r="K81" s="23"/>
      <c r="L81" s="23"/>
      <c r="M81" s="23"/>
    </row>
    <row r="82" spans="1:16" x14ac:dyDescent="0.25">
      <c r="A82" t="s">
        <v>70</v>
      </c>
      <c r="B82" t="s">
        <v>23</v>
      </c>
      <c r="C82">
        <v>787</v>
      </c>
      <c r="D82">
        <v>270</v>
      </c>
      <c r="E82">
        <v>137</v>
      </c>
      <c r="F82">
        <v>0</v>
      </c>
      <c r="G82">
        <v>1194</v>
      </c>
      <c r="H82" s="23"/>
      <c r="I82" s="23"/>
      <c r="J82" s="23"/>
      <c r="K82" s="23"/>
      <c r="L82" s="23"/>
      <c r="M82" s="23"/>
    </row>
    <row r="83" spans="1:16" x14ac:dyDescent="0.25">
      <c r="A83" t="s">
        <v>4</v>
      </c>
      <c r="B83" t="s">
        <v>23</v>
      </c>
      <c r="C83">
        <v>21</v>
      </c>
      <c r="D83">
        <v>2</v>
      </c>
      <c r="E83">
        <v>1</v>
      </c>
      <c r="F83">
        <v>-2</v>
      </c>
      <c r="G83">
        <v>22</v>
      </c>
      <c r="H83" s="23"/>
      <c r="I83" s="23"/>
      <c r="J83" s="23"/>
      <c r="K83" s="23"/>
      <c r="L83" s="23"/>
      <c r="M83" s="23"/>
    </row>
    <row r="84" spans="1:16" x14ac:dyDescent="0.25">
      <c r="A84" t="s">
        <v>63</v>
      </c>
      <c r="B84" t="s">
        <v>23</v>
      </c>
      <c r="C84">
        <v>-178</v>
      </c>
      <c r="D84">
        <v>-198</v>
      </c>
      <c r="E84">
        <v>-58</v>
      </c>
      <c r="F84">
        <v>0</v>
      </c>
      <c r="G84">
        <v>-434</v>
      </c>
      <c r="H84" s="23"/>
      <c r="I84" s="23"/>
      <c r="J84" s="23"/>
      <c r="K84" s="23"/>
      <c r="L84" s="23"/>
      <c r="M84" s="23"/>
    </row>
    <row r="85" spans="1:16" x14ac:dyDescent="0.25">
      <c r="A85" t="s">
        <v>5</v>
      </c>
      <c r="B85" t="s">
        <v>23</v>
      </c>
      <c r="C85">
        <v>3763</v>
      </c>
      <c r="D85">
        <v>2478</v>
      </c>
      <c r="E85">
        <v>1624</v>
      </c>
      <c r="F85">
        <v>-2</v>
      </c>
      <c r="G85">
        <v>7863</v>
      </c>
      <c r="H85" s="23"/>
      <c r="I85" s="23"/>
      <c r="J85" s="23"/>
      <c r="K85" s="23"/>
      <c r="L85" s="23"/>
      <c r="M85" s="23"/>
    </row>
    <row r="86" spans="1:16" x14ac:dyDescent="0.25">
      <c r="A86" t="s">
        <v>67</v>
      </c>
      <c r="B86" t="s">
        <v>24</v>
      </c>
      <c r="C86" s="24">
        <f>'Matching Tabelle'!$G$3*Division_Region_bef_Match!L87+'Matching Tabelle'!$G$6*Division_Region_bef_Match!L90+'Matching Tabelle'!$G$8*Division_Region_bef_Match!L88</f>
        <v>1481.2318019457698</v>
      </c>
      <c r="D86" s="24">
        <f>'Matching Tabelle'!$G$3*Division_Region_bef_Match!M87+'Matching Tabelle'!$G$6*Division_Region_bef_Match!M90+'Matching Tabelle'!$G$8*Division_Region_bef_Match!M88</f>
        <v>1032.1253982917851</v>
      </c>
      <c r="E86" s="24">
        <f>'Matching Tabelle'!$G$3*Division_Region_bef_Match!N87+'Matching Tabelle'!$G$6*Division_Region_bef_Match!N90+'Matching Tabelle'!$G$8*Division_Region_bef_Match!N88</f>
        <v>714.70448255778933</v>
      </c>
      <c r="F86" s="24">
        <f>'Matching Tabelle'!$G$3*Division_Region_bef_Match!O87+'Matching Tabelle'!$G$6*Division_Region_bef_Match!O90+'Matching Tabelle'!$G$8*Division_Region_bef_Match!O88</f>
        <v>4.9709798566063612E-2</v>
      </c>
      <c r="G86" s="24">
        <f>Sales_per_Division!P2</f>
        <v>2664.7933949407688</v>
      </c>
      <c r="H86" s="23"/>
      <c r="I86" s="23"/>
      <c r="J86" s="23"/>
      <c r="K86" s="23"/>
      <c r="L86" s="23"/>
      <c r="M86" s="23"/>
    </row>
    <row r="87" spans="1:16" x14ac:dyDescent="0.25">
      <c r="A87" t="s">
        <v>68</v>
      </c>
      <c r="B87" t="s">
        <v>24</v>
      </c>
      <c r="C87" s="24">
        <f>'Matching Tabelle'!$G$13*Division_Region_bef_Match!L87+'Matching Tabelle'!$G$15*Division_Region_bef_Match!L88+'Matching Tabelle'!$G$16*Division_Region_bef_Match!L90</f>
        <v>920.62000000000012</v>
      </c>
      <c r="D87" s="24">
        <f>'Matching Tabelle'!$G$13*Division_Region_bef_Match!M87+'Matching Tabelle'!$G$15*Division_Region_bef_Match!M88+'Matching Tabelle'!$G$16*Division_Region_bef_Match!M90</f>
        <v>1093.3700000000001</v>
      </c>
      <c r="E87" s="24">
        <f>'Matching Tabelle'!$G$13*Division_Region_bef_Match!N87+'Matching Tabelle'!$G$15*Division_Region_bef_Match!N88+'Matching Tabelle'!$G$16*Division_Region_bef_Match!N90</f>
        <v>419.95000000000005</v>
      </c>
      <c r="F87" s="24">
        <f>'Matching Tabelle'!$G$13*Division_Region_bef_Match!O87+'Matching Tabelle'!$G$15*Division_Region_bef_Match!O88+'Matching Tabelle'!$G$16*Division_Region_bef_Match!O90</f>
        <v>-0.12</v>
      </c>
      <c r="G87" s="24">
        <f>Sales_per_Division!P3</f>
        <v>2383.1000000000004</v>
      </c>
      <c r="H87" s="7">
        <f>SUM(C87:F87)</f>
        <v>2433.8200000000006</v>
      </c>
      <c r="I87" s="23"/>
      <c r="J87" s="1" t="s">
        <v>71</v>
      </c>
      <c r="K87" t="s">
        <v>24</v>
      </c>
      <c r="L87" s="23">
        <v>1415</v>
      </c>
      <c r="M87" s="23">
        <v>842</v>
      </c>
      <c r="N87" s="23">
        <v>694</v>
      </c>
      <c r="O87" s="23">
        <v>1</v>
      </c>
      <c r="P87" s="23">
        <v>2952</v>
      </c>
    </row>
    <row r="88" spans="1:16" x14ac:dyDescent="0.25">
      <c r="A88" t="s">
        <v>69</v>
      </c>
      <c r="B88" t="s">
        <v>24</v>
      </c>
      <c r="C88" s="24">
        <f>L89+'Matching Tabelle'!$G$26*Division_Region_bef_Match!L87</f>
        <v>974.38340730624782</v>
      </c>
      <c r="D88" s="24">
        <f>M89+'Matching Tabelle'!$G$26*Division_Region_bef_Match!M87</f>
        <v>336.51860703311712</v>
      </c>
      <c r="E88" s="24">
        <f>N89+'Matching Tabelle'!$G$26*Division_Region_bef_Match!N87</f>
        <v>423.70536019119152</v>
      </c>
      <c r="F88" s="24">
        <f>O89+'Matching Tabelle'!$G$26*Division_Region_bef_Match!O87</f>
        <v>1.0730624786616594</v>
      </c>
      <c r="G88" s="24">
        <f>Sales_per_Division!P4</f>
        <v>1683.949129395698</v>
      </c>
      <c r="H88" s="7">
        <f t="shared" ref="H88:H141" si="0">SUM(C88:F88)</f>
        <v>1735.6804370092184</v>
      </c>
      <c r="I88" s="23"/>
      <c r="J88" s="1" t="s">
        <v>72</v>
      </c>
      <c r="K88" t="s">
        <v>24</v>
      </c>
      <c r="L88" s="23">
        <v>811</v>
      </c>
      <c r="M88" s="23">
        <v>361</v>
      </c>
      <c r="N88" s="23">
        <v>398</v>
      </c>
      <c r="O88" s="23">
        <v>-1</v>
      </c>
      <c r="P88" s="23">
        <v>1569</v>
      </c>
    </row>
    <row r="89" spans="1:16" x14ac:dyDescent="0.25">
      <c r="A89" t="s">
        <v>70</v>
      </c>
      <c r="B89" t="s">
        <v>24</v>
      </c>
      <c r="C89">
        <f>L91</f>
        <v>851</v>
      </c>
      <c r="D89">
        <f t="shared" ref="D89:F91" si="1">M91</f>
        <v>232</v>
      </c>
      <c r="E89">
        <f t="shared" si="1"/>
        <v>127</v>
      </c>
      <c r="F89">
        <f t="shared" si="1"/>
        <v>1</v>
      </c>
      <c r="G89" s="24">
        <f>Sales_per_Division!P5</f>
        <v>1371</v>
      </c>
      <c r="H89" s="7">
        <f t="shared" si="0"/>
        <v>1211</v>
      </c>
      <c r="I89" s="23"/>
      <c r="J89" s="1" t="s">
        <v>2</v>
      </c>
      <c r="K89" t="s">
        <v>24</v>
      </c>
      <c r="L89" s="23">
        <v>871</v>
      </c>
      <c r="M89" s="23">
        <v>275</v>
      </c>
      <c r="N89" s="23">
        <v>373</v>
      </c>
      <c r="O89" s="23">
        <v>1</v>
      </c>
      <c r="P89" s="23">
        <v>1520</v>
      </c>
    </row>
    <row r="90" spans="1:16" x14ac:dyDescent="0.25">
      <c r="A90" t="s">
        <v>4</v>
      </c>
      <c r="B90" t="s">
        <v>24</v>
      </c>
      <c r="C90">
        <f>L92</f>
        <v>5</v>
      </c>
      <c r="D90">
        <f t="shared" si="1"/>
        <v>1</v>
      </c>
      <c r="E90">
        <f t="shared" si="1"/>
        <v>1</v>
      </c>
      <c r="F90">
        <f t="shared" si="1"/>
        <v>-4</v>
      </c>
      <c r="G90" s="24">
        <f>Sales_per_Division!P6</f>
        <v>3</v>
      </c>
      <c r="H90" s="7">
        <f t="shared" si="0"/>
        <v>3</v>
      </c>
      <c r="I90" s="23"/>
      <c r="J90" s="1" t="s">
        <v>73</v>
      </c>
      <c r="K90" t="s">
        <v>24</v>
      </c>
      <c r="L90" s="23">
        <v>274</v>
      </c>
      <c r="M90" s="23">
        <v>977</v>
      </c>
      <c r="N90" s="23">
        <v>91</v>
      </c>
      <c r="O90" s="23">
        <v>0</v>
      </c>
      <c r="P90" s="23">
        <v>1342</v>
      </c>
    </row>
    <row r="91" spans="1:16" x14ac:dyDescent="0.25">
      <c r="A91" t="s">
        <v>63</v>
      </c>
      <c r="B91" t="s">
        <v>24</v>
      </c>
      <c r="C91">
        <f>L93</f>
        <v>-309</v>
      </c>
      <c r="D91">
        <f t="shared" si="1"/>
        <v>-235</v>
      </c>
      <c r="E91">
        <f t="shared" si="1"/>
        <v>-107</v>
      </c>
      <c r="F91">
        <f t="shared" si="1"/>
        <v>-1</v>
      </c>
      <c r="G91" s="24">
        <f>Sales_per_Division!P7</f>
        <v>-160.84252433646725</v>
      </c>
      <c r="H91" s="7">
        <f t="shared" si="0"/>
        <v>-652</v>
      </c>
      <c r="I91" s="23"/>
      <c r="J91" s="1" t="s">
        <v>3</v>
      </c>
      <c r="K91" t="s">
        <v>24</v>
      </c>
      <c r="L91" s="23">
        <v>851</v>
      </c>
      <c r="M91" s="23">
        <v>232</v>
      </c>
      <c r="N91" s="23">
        <v>127</v>
      </c>
      <c r="O91" s="23">
        <v>1</v>
      </c>
      <c r="P91" s="23">
        <v>1211</v>
      </c>
    </row>
    <row r="92" spans="1:16" x14ac:dyDescent="0.25">
      <c r="A92" t="s">
        <v>5</v>
      </c>
      <c r="B92" t="s">
        <v>24</v>
      </c>
      <c r="C92" s="24">
        <f>SUM(C86:C91)</f>
        <v>3923.2352092520177</v>
      </c>
      <c r="D92" s="24">
        <f t="shared" ref="D92:F92" si="2">SUM(D86:D91)</f>
        <v>2460.014005324902</v>
      </c>
      <c r="E92" s="24">
        <f t="shared" si="2"/>
        <v>1579.359842748981</v>
      </c>
      <c r="F92" s="24">
        <f t="shared" si="2"/>
        <v>-2.9972277227722772</v>
      </c>
      <c r="G92" s="24">
        <f>Sales_per_Division!P8</f>
        <v>7945</v>
      </c>
      <c r="H92" s="7">
        <f t="shared" si="0"/>
        <v>7959.6118296031282</v>
      </c>
      <c r="I92" s="23"/>
      <c r="J92" s="1" t="s">
        <v>4</v>
      </c>
      <c r="K92" t="s">
        <v>24</v>
      </c>
      <c r="L92" s="23">
        <v>5</v>
      </c>
      <c r="M92" s="23">
        <v>1</v>
      </c>
      <c r="N92" s="23">
        <v>1</v>
      </c>
      <c r="O92" s="23">
        <v>-4</v>
      </c>
      <c r="P92" s="23">
        <v>3</v>
      </c>
    </row>
    <row r="93" spans="1:16" x14ac:dyDescent="0.25">
      <c r="A93" t="s">
        <v>67</v>
      </c>
      <c r="B93" t="s">
        <v>25</v>
      </c>
      <c r="C93" s="24">
        <f>'Matching Tabelle'!$G$3*Division_Region_bef_Match!L95+'Matching Tabelle'!$G$6*Division_Region_bef_Match!L98+'Matching Tabelle'!$G$8*Division_Region_bef_Match!L96</f>
        <v>1534.1491463229199</v>
      </c>
      <c r="D93" s="24">
        <f>'Matching Tabelle'!$G$3*Division_Region_bef_Match!M95+'Matching Tabelle'!$G$6*Division_Region_bef_Match!M98+'Matching Tabelle'!$G$8*Division_Region_bef_Match!M96</f>
        <v>1126.5377184400561</v>
      </c>
      <c r="E93" s="24">
        <f>'Matching Tabelle'!$G$3*Division_Region_bef_Match!N95+'Matching Tabelle'!$G$6*Division_Region_bef_Match!N98+'Matching Tabelle'!$G$8*Division_Region_bef_Match!N96</f>
        <v>698.45683443742814</v>
      </c>
      <c r="F93" s="24">
        <f>'Matching Tabelle'!$G$3*Division_Region_bef_Match!O95+'Matching Tabelle'!$G$6*Division_Region_bef_Match!O98+'Matching Tabelle'!$G$8*Division_Region_bef_Match!O96</f>
        <v>-2.5491293956981909</v>
      </c>
      <c r="G93" s="24">
        <f>Sales_per_Division!Q2</f>
        <v>3021</v>
      </c>
      <c r="H93" s="7">
        <f t="shared" si="0"/>
        <v>3356.5945698047062</v>
      </c>
      <c r="I93" s="23"/>
      <c r="J93" s="1" t="s">
        <v>63</v>
      </c>
      <c r="K93" t="s">
        <v>24</v>
      </c>
      <c r="L93" s="23">
        <v>-309</v>
      </c>
      <c r="M93" s="23">
        <v>-235</v>
      </c>
      <c r="N93" s="23">
        <v>-107</v>
      </c>
      <c r="O93" s="23">
        <v>-1</v>
      </c>
      <c r="P93" s="23">
        <v>-652</v>
      </c>
    </row>
    <row r="94" spans="1:16" x14ac:dyDescent="0.25">
      <c r="A94" t="s">
        <v>68</v>
      </c>
      <c r="B94" t="s">
        <v>25</v>
      </c>
      <c r="C94" s="24">
        <f>'Matching Tabelle'!$G$13*Division_Region_bef_Match!L95+'Matching Tabelle'!$G$15*Division_Region_bef_Match!L96+'Matching Tabelle'!$G$16*Division_Region_bef_Match!L98</f>
        <v>948.57</v>
      </c>
      <c r="D94" s="24">
        <f>'Matching Tabelle'!$G$13*Division_Region_bef_Match!M95+'Matching Tabelle'!$G$15*Division_Region_bef_Match!M96+'Matching Tabelle'!$G$16*Division_Region_bef_Match!M98</f>
        <v>1203.51</v>
      </c>
      <c r="E94" s="24">
        <f>'Matching Tabelle'!$G$13*Division_Region_bef_Match!N95+'Matching Tabelle'!$G$15*Division_Region_bef_Match!N96+'Matching Tabelle'!$G$16*Division_Region_bef_Match!N98</f>
        <v>412.99</v>
      </c>
      <c r="F94" s="24">
        <f>'Matching Tabelle'!$G$13*Division_Region_bef_Match!O95+'Matching Tabelle'!$G$15*Division_Region_bef_Match!O96+'Matching Tabelle'!$G$16*Division_Region_bef_Match!O98</f>
        <v>-1.2400000000000002</v>
      </c>
      <c r="G94" s="24">
        <f>Sales_per_Division!Q3</f>
        <v>2619</v>
      </c>
      <c r="H94" s="7">
        <f t="shared" si="0"/>
        <v>2563.83</v>
      </c>
      <c r="I94" s="23"/>
      <c r="J94" s="1" t="s">
        <v>5</v>
      </c>
      <c r="K94" t="s">
        <v>24</v>
      </c>
      <c r="L94" s="23">
        <v>3918</v>
      </c>
      <c r="M94" s="23">
        <v>2453</v>
      </c>
      <c r="N94" s="23">
        <v>1577</v>
      </c>
      <c r="O94" s="23">
        <v>-3</v>
      </c>
      <c r="P94" s="23">
        <v>7945</v>
      </c>
    </row>
    <row r="95" spans="1:16" x14ac:dyDescent="0.25">
      <c r="A95" t="s">
        <v>69</v>
      </c>
      <c r="B95" t="s">
        <v>25</v>
      </c>
      <c r="C95" s="24">
        <f>L97+'Matching Tabelle'!$G$26*Division_Region_bef_Match!L95</f>
        <v>929.57528166609768</v>
      </c>
      <c r="D95" s="24">
        <f>M97+'Matching Tabelle'!$G$26*Division_Region_bef_Match!M95</f>
        <v>347.61010583817006</v>
      </c>
      <c r="E95" s="24">
        <f>N97+'Matching Tabelle'!$G$26*Division_Region_bef_Match!N95</f>
        <v>389.90167292591326</v>
      </c>
      <c r="F95" s="24">
        <f>O97+'Matching Tabelle'!$G$26*Division_Region_bef_Match!O95</f>
        <v>-1.2191874359849777</v>
      </c>
      <c r="G95" s="24">
        <f>Sales_per_Division!Q4</f>
        <v>1643</v>
      </c>
      <c r="H95" s="7">
        <f t="shared" si="0"/>
        <v>1665.867872994196</v>
      </c>
      <c r="I95" s="23"/>
      <c r="J95" s="1" t="s">
        <v>71</v>
      </c>
      <c r="K95" t="s">
        <v>25</v>
      </c>
      <c r="L95" s="23">
        <v>1445</v>
      </c>
      <c r="M95" s="23">
        <v>898</v>
      </c>
      <c r="N95" s="23">
        <v>683</v>
      </c>
      <c r="O95" s="23">
        <v>-3</v>
      </c>
      <c r="P95" s="23">
        <v>3023</v>
      </c>
    </row>
    <row r="96" spans="1:16" x14ac:dyDescent="0.25">
      <c r="A96" t="s">
        <v>70</v>
      </c>
      <c r="B96" t="s">
        <v>25</v>
      </c>
      <c r="C96">
        <f>L99</f>
        <v>886</v>
      </c>
      <c r="D96">
        <f t="shared" ref="D96:F98" si="3">M99</f>
        <v>221</v>
      </c>
      <c r="E96">
        <f t="shared" si="3"/>
        <v>129</v>
      </c>
      <c r="F96">
        <f t="shared" si="3"/>
        <v>-1</v>
      </c>
      <c r="G96" s="24">
        <f>Sales_per_Division!Q5</f>
        <v>1302</v>
      </c>
      <c r="H96" s="7">
        <f t="shared" si="0"/>
        <v>1235</v>
      </c>
      <c r="I96" s="23"/>
      <c r="J96" s="1" t="s">
        <v>72</v>
      </c>
      <c r="K96" t="s">
        <v>25</v>
      </c>
      <c r="L96" s="23">
        <v>869</v>
      </c>
      <c r="M96" s="23">
        <v>411</v>
      </c>
      <c r="N96" s="23">
        <v>381</v>
      </c>
      <c r="O96" s="23">
        <v>-1</v>
      </c>
      <c r="P96" s="23">
        <v>1660</v>
      </c>
    </row>
    <row r="97" spans="1:16" x14ac:dyDescent="0.25">
      <c r="A97" t="s">
        <v>4</v>
      </c>
      <c r="B97" t="s">
        <v>25</v>
      </c>
      <c r="C97">
        <f>L100</f>
        <v>34</v>
      </c>
      <c r="D97">
        <f t="shared" si="3"/>
        <v>-1</v>
      </c>
      <c r="E97">
        <f t="shared" si="3"/>
        <v>-2</v>
      </c>
      <c r="F97">
        <f t="shared" si="3"/>
        <v>4</v>
      </c>
      <c r="G97" s="24">
        <f>Sales_per_Division!Q6</f>
        <v>35</v>
      </c>
      <c r="H97" s="7">
        <f t="shared" si="0"/>
        <v>35</v>
      </c>
      <c r="I97" s="23"/>
      <c r="J97" s="1" t="s">
        <v>2</v>
      </c>
      <c r="K97" t="s">
        <v>25</v>
      </c>
      <c r="L97" s="23">
        <v>824</v>
      </c>
      <c r="M97" s="23">
        <v>282</v>
      </c>
      <c r="N97" s="23">
        <v>340</v>
      </c>
      <c r="O97" s="23">
        <v>-1</v>
      </c>
      <c r="P97" s="23">
        <v>1445</v>
      </c>
    </row>
    <row r="98" spans="1:16" x14ac:dyDescent="0.25">
      <c r="A98" t="s">
        <v>63</v>
      </c>
      <c r="B98" t="s">
        <v>25</v>
      </c>
      <c r="C98">
        <f>L101</f>
        <v>-321</v>
      </c>
      <c r="D98">
        <f t="shared" si="3"/>
        <v>-269</v>
      </c>
      <c r="E98">
        <f t="shared" si="3"/>
        <v>-99</v>
      </c>
      <c r="F98">
        <f t="shared" si="3"/>
        <v>0</v>
      </c>
      <c r="G98" s="24">
        <f>Sales_per_Division!Q7</f>
        <v>-468</v>
      </c>
      <c r="H98" s="7">
        <f t="shared" si="0"/>
        <v>-689</v>
      </c>
      <c r="I98" s="23"/>
      <c r="J98" s="1" t="s">
        <v>73</v>
      </c>
      <c r="K98" t="s">
        <v>25</v>
      </c>
      <c r="L98" s="23">
        <v>269</v>
      </c>
      <c r="M98" s="23">
        <v>1079</v>
      </c>
      <c r="N98" s="23">
        <v>95</v>
      </c>
      <c r="O98" s="23">
        <v>0</v>
      </c>
      <c r="P98" s="23">
        <v>1443</v>
      </c>
    </row>
    <row r="99" spans="1:16" x14ac:dyDescent="0.25">
      <c r="A99" t="s">
        <v>5</v>
      </c>
      <c r="B99" t="s">
        <v>25</v>
      </c>
      <c r="C99" s="24">
        <f>SUM(C93:C98)</f>
        <v>4011.294427989018</v>
      </c>
      <c r="D99" s="24">
        <f t="shared" ref="D99:F99" si="4">SUM(D93:D98)</f>
        <v>2628.6578242782261</v>
      </c>
      <c r="E99" s="24">
        <f t="shared" si="4"/>
        <v>1529.3485073633415</v>
      </c>
      <c r="F99" s="24">
        <f t="shared" si="4"/>
        <v>-2.0083168316831692</v>
      </c>
      <c r="G99" s="24">
        <f>Sales_per_Division!Q8</f>
        <v>8152</v>
      </c>
      <c r="H99" s="7">
        <f t="shared" si="0"/>
        <v>8167.2924427989019</v>
      </c>
      <c r="I99" s="23"/>
      <c r="J99" s="1" t="s">
        <v>3</v>
      </c>
      <c r="K99" t="s">
        <v>25</v>
      </c>
      <c r="L99" s="23">
        <v>886</v>
      </c>
      <c r="M99" s="23">
        <v>221</v>
      </c>
      <c r="N99" s="23">
        <v>129</v>
      </c>
      <c r="O99" s="23">
        <v>-1</v>
      </c>
      <c r="P99" s="23">
        <v>1235</v>
      </c>
    </row>
    <row r="100" spans="1:16" x14ac:dyDescent="0.25">
      <c r="A100" t="s">
        <v>67</v>
      </c>
      <c r="B100" t="s">
        <v>26</v>
      </c>
      <c r="C100" s="24">
        <f>'Matching Tabelle'!$G$3*Division_Region_bef_Match!L103+'Matching Tabelle'!$G$6*Division_Region_bef_Match!L106+'Matching Tabelle'!$G$8*Division_Region_bef_Match!L104</f>
        <v>1630.725202050776</v>
      </c>
      <c r="D100" s="24">
        <f>'Matching Tabelle'!$G$3*Division_Region_bef_Match!M103+'Matching Tabelle'!$G$6*Division_Region_bef_Match!M106+'Matching Tabelle'!$G$8*Division_Region_bef_Match!M104</f>
        <v>1063.6836592062568</v>
      </c>
      <c r="E100" s="24">
        <f>'Matching Tabelle'!$G$3*Division_Region_bef_Match!N103+'Matching Tabelle'!$G$6*Division_Region_bef_Match!N106+'Matching Tabelle'!$G$8*Division_Region_bef_Match!N104</f>
        <v>806.62199247742797</v>
      </c>
      <c r="F100" s="24">
        <f>'Matching Tabelle'!$G$3*Division_Region_bef_Match!O103+'Matching Tabelle'!$G$6*Division_Region_bef_Match!O106+'Matching Tabelle'!$G$8*Division_Region_bef_Match!O104</f>
        <v>0.64970979856606359</v>
      </c>
      <c r="G100" s="24">
        <f>Sales_per_Division!R2</f>
        <v>3253</v>
      </c>
      <c r="H100" s="7">
        <f t="shared" si="0"/>
        <v>3501.680563533027</v>
      </c>
      <c r="I100" s="23"/>
      <c r="J100" s="1" t="s">
        <v>4</v>
      </c>
      <c r="K100" t="s">
        <v>25</v>
      </c>
      <c r="L100" s="23">
        <v>34</v>
      </c>
      <c r="M100" s="23">
        <v>-1</v>
      </c>
      <c r="N100" s="23">
        <v>-2</v>
      </c>
      <c r="O100" s="23">
        <v>4</v>
      </c>
      <c r="P100" s="23">
        <v>35</v>
      </c>
    </row>
    <row r="101" spans="1:16" x14ac:dyDescent="0.25">
      <c r="A101" t="s">
        <v>68</v>
      </c>
      <c r="B101" t="s">
        <v>26</v>
      </c>
      <c r="C101" s="24">
        <f>'Matching Tabelle'!$G$13*Division_Region_bef_Match!L103+'Matching Tabelle'!$G$15*Division_Region_bef_Match!L104+'Matching Tabelle'!$G$16*Division_Region_bef_Match!L106</f>
        <v>1025.31</v>
      </c>
      <c r="D101" s="24">
        <f>'Matching Tabelle'!$G$13*Division_Region_bef_Match!M103+'Matching Tabelle'!$G$15*Division_Region_bef_Match!M104+'Matching Tabelle'!$G$16*Division_Region_bef_Match!M106</f>
        <v>1067.47</v>
      </c>
      <c r="E101" s="24">
        <f>'Matching Tabelle'!$G$13*Division_Region_bef_Match!N103+'Matching Tabelle'!$G$15*Division_Region_bef_Match!N104+'Matching Tabelle'!$G$16*Division_Region_bef_Match!N106</f>
        <v>490.39000000000004</v>
      </c>
      <c r="F101" s="24">
        <f>'Matching Tabelle'!$G$13*Division_Region_bef_Match!O103+'Matching Tabelle'!$G$15*Division_Region_bef_Match!O104+'Matching Tabelle'!$G$16*Division_Region_bef_Match!O106</f>
        <v>0.28000000000000003</v>
      </c>
      <c r="G101" s="24">
        <f>Sales_per_Division!R3</f>
        <v>2527</v>
      </c>
      <c r="H101" s="7">
        <f t="shared" si="0"/>
        <v>2583.4499999999998</v>
      </c>
      <c r="I101" s="23"/>
      <c r="J101" s="1" t="s">
        <v>63</v>
      </c>
      <c r="K101" t="s">
        <v>25</v>
      </c>
      <c r="L101" s="23">
        <v>-321</v>
      </c>
      <c r="M101" s="23">
        <v>-269</v>
      </c>
      <c r="N101" s="23">
        <v>-99</v>
      </c>
      <c r="O101" s="23">
        <v>0</v>
      </c>
      <c r="P101" s="23">
        <v>-689</v>
      </c>
    </row>
    <row r="102" spans="1:16" x14ac:dyDescent="0.25">
      <c r="A102" t="s">
        <v>69</v>
      </c>
      <c r="B102" t="s">
        <v>26</v>
      </c>
      <c r="C102" s="24">
        <f>L105+'Matching Tabelle'!$G$26*Division_Region_bef_Match!L103</f>
        <v>957.59371799248891</v>
      </c>
      <c r="D102" s="24">
        <f>M105+'Matching Tabelle'!$G$26*Division_Region_bef_Match!M103</f>
        <v>355.56435643564356</v>
      </c>
      <c r="E102" s="24">
        <f>N105+'Matching Tabelle'!$G$26*Division_Region_bef_Match!N103</f>
        <v>437.76954592010924</v>
      </c>
      <c r="F102" s="24">
        <f>O105+'Matching Tabelle'!$G$26*Division_Region_bef_Match!O103</f>
        <v>-0.92693752133834073</v>
      </c>
      <c r="G102" s="24">
        <f>Sales_per_Division!R4</f>
        <v>1730</v>
      </c>
      <c r="H102" s="7">
        <f t="shared" si="0"/>
        <v>1750.0006828269036</v>
      </c>
      <c r="J102" s="1" t="s">
        <v>5</v>
      </c>
      <c r="K102" t="s">
        <v>25</v>
      </c>
      <c r="L102" s="23">
        <v>4006</v>
      </c>
      <c r="M102" s="23">
        <v>2621</v>
      </c>
      <c r="N102" s="23">
        <v>1527</v>
      </c>
      <c r="O102" s="23">
        <v>-2</v>
      </c>
      <c r="P102" s="23">
        <v>8152</v>
      </c>
    </row>
    <row r="103" spans="1:16" x14ac:dyDescent="0.25">
      <c r="A103" t="s">
        <v>70</v>
      </c>
      <c r="B103" t="s">
        <v>26</v>
      </c>
      <c r="C103">
        <f>L107</f>
        <v>847</v>
      </c>
      <c r="D103">
        <f t="shared" ref="D103:F105" si="5">M107</f>
        <v>236</v>
      </c>
      <c r="E103">
        <f t="shared" si="5"/>
        <v>138</v>
      </c>
      <c r="F103">
        <f t="shared" si="5"/>
        <v>2</v>
      </c>
      <c r="G103" s="24">
        <f>Sales_per_Division!R5</f>
        <v>1309</v>
      </c>
      <c r="H103" s="7">
        <f t="shared" si="0"/>
        <v>1223</v>
      </c>
      <c r="J103" s="1" t="s">
        <v>71</v>
      </c>
      <c r="K103" t="s">
        <v>26</v>
      </c>
      <c r="L103">
        <v>1500</v>
      </c>
      <c r="M103" s="23">
        <v>870</v>
      </c>
      <c r="N103" s="23">
        <v>777</v>
      </c>
      <c r="O103" s="23">
        <v>1</v>
      </c>
      <c r="P103">
        <v>3148</v>
      </c>
    </row>
    <row r="104" spans="1:16" x14ac:dyDescent="0.25">
      <c r="A104" t="s">
        <v>4</v>
      </c>
      <c r="B104" t="s">
        <v>26</v>
      </c>
      <c r="C104">
        <f>L108</f>
        <v>12</v>
      </c>
      <c r="D104">
        <f t="shared" si="5"/>
        <v>1</v>
      </c>
      <c r="E104">
        <f t="shared" si="5"/>
        <v>1</v>
      </c>
      <c r="F104">
        <f t="shared" si="5"/>
        <v>-2</v>
      </c>
      <c r="G104" s="24">
        <f>Sales_per_Division!R6</f>
        <v>12</v>
      </c>
      <c r="H104" s="7">
        <f t="shared" si="0"/>
        <v>12</v>
      </c>
      <c r="J104" s="1" t="s">
        <v>72</v>
      </c>
      <c r="K104" t="s">
        <v>26</v>
      </c>
      <c r="L104">
        <v>953</v>
      </c>
      <c r="M104" s="23">
        <v>419</v>
      </c>
      <c r="N104" s="23">
        <v>443</v>
      </c>
      <c r="O104" s="23">
        <v>0</v>
      </c>
      <c r="P104">
        <v>1815</v>
      </c>
    </row>
    <row r="105" spans="1:16" x14ac:dyDescent="0.25">
      <c r="A105" t="s">
        <v>63</v>
      </c>
      <c r="B105" t="s">
        <v>26</v>
      </c>
      <c r="C105">
        <f>L109</f>
        <v>-338</v>
      </c>
      <c r="D105">
        <f t="shared" si="5"/>
        <v>-213</v>
      </c>
      <c r="E105">
        <f t="shared" si="5"/>
        <v>-113</v>
      </c>
      <c r="F105">
        <f t="shared" si="5"/>
        <v>-1</v>
      </c>
      <c r="G105" s="24">
        <f>Sales_per_Division!R7</f>
        <v>-441</v>
      </c>
      <c r="H105" s="7">
        <f t="shared" si="0"/>
        <v>-665</v>
      </c>
      <c r="J105" s="1" t="s">
        <v>2</v>
      </c>
      <c r="K105" t="s">
        <v>26</v>
      </c>
      <c r="L105">
        <v>848</v>
      </c>
      <c r="M105" s="23">
        <v>292</v>
      </c>
      <c r="N105" s="23">
        <v>381</v>
      </c>
      <c r="O105" s="23">
        <v>-1</v>
      </c>
      <c r="P105">
        <v>1520</v>
      </c>
    </row>
    <row r="106" spans="1:16" x14ac:dyDescent="0.25">
      <c r="A106" t="s">
        <v>5</v>
      </c>
      <c r="B106" t="s">
        <v>26</v>
      </c>
      <c r="C106" s="24">
        <f>SUM(C100:C105)</f>
        <v>4134.6289200432657</v>
      </c>
      <c r="D106" s="24">
        <f t="shared" ref="D106:F106" si="6">SUM(D100:D105)</f>
        <v>2510.7180156419004</v>
      </c>
      <c r="E106" s="24">
        <f t="shared" si="6"/>
        <v>1760.7815383975374</v>
      </c>
      <c r="F106" s="24">
        <f t="shared" si="6"/>
        <v>-0.99722772277227723</v>
      </c>
      <c r="G106" s="24">
        <f>Sales_per_Division!R8</f>
        <v>8390</v>
      </c>
      <c r="H106" s="7">
        <f t="shared" si="0"/>
        <v>8405.1312463599315</v>
      </c>
      <c r="J106" s="1" t="s">
        <v>73</v>
      </c>
      <c r="K106" t="s">
        <v>26</v>
      </c>
      <c r="L106">
        <v>307</v>
      </c>
      <c r="M106" s="23">
        <v>899</v>
      </c>
      <c r="N106" s="23">
        <v>131</v>
      </c>
      <c r="O106" s="23">
        <v>0</v>
      </c>
      <c r="P106">
        <v>1337</v>
      </c>
    </row>
    <row r="107" spans="1:16" x14ac:dyDescent="0.25">
      <c r="A107" t="s">
        <v>67</v>
      </c>
      <c r="B107" t="s">
        <v>27</v>
      </c>
      <c r="C107" s="24">
        <f>'Matching Tabelle'!$G$3*Division_Region_bef_Match!L111+'Matching Tabelle'!$G$6*Division_Region_bef_Match!L114+'Matching Tabelle'!$G$8*Division_Region_bef_Match!L112</f>
        <v>1511.0520999796299</v>
      </c>
      <c r="D107" s="24">
        <f>'Matching Tabelle'!$G$3*Division_Region_bef_Match!M111+'Matching Tabelle'!$G$6*Division_Region_bef_Match!M114+'Matching Tabelle'!$G$8*Division_Region_bef_Match!M112</f>
        <v>1161.8596632917422</v>
      </c>
      <c r="E107" s="24">
        <f>'Matching Tabelle'!$G$3*Division_Region_bef_Match!N111+'Matching Tabelle'!$G$6*Division_Region_bef_Match!N114+'Matching Tabelle'!$G$8*Division_Region_bef_Match!N112</f>
        <v>811.46672968948587</v>
      </c>
      <c r="F107" s="24">
        <f>'Matching Tabelle'!$G$3*Division_Region_bef_Match!O111+'Matching Tabelle'!$G$6*Division_Region_bef_Match!O114+'Matching Tabelle'!$G$8*Division_Region_bef_Match!O112</f>
        <v>-0.92449971453245017</v>
      </c>
      <c r="G107" s="24">
        <f>Sales_per_Division!S2</f>
        <v>3475.2066050592312</v>
      </c>
      <c r="H107" s="7">
        <f t="shared" si="0"/>
        <v>3483.4539932463258</v>
      </c>
      <c r="J107" s="1" t="s">
        <v>3</v>
      </c>
      <c r="K107" t="s">
        <v>26</v>
      </c>
      <c r="L107">
        <v>847</v>
      </c>
      <c r="M107" s="23">
        <v>236</v>
      </c>
      <c r="N107" s="23">
        <v>138</v>
      </c>
      <c r="O107" s="23">
        <v>2</v>
      </c>
      <c r="P107">
        <v>1223</v>
      </c>
    </row>
    <row r="108" spans="1:16" x14ac:dyDescent="0.25">
      <c r="A108" t="s">
        <v>68</v>
      </c>
      <c r="B108" t="s">
        <v>27</v>
      </c>
      <c r="C108" s="24">
        <f>'Matching Tabelle'!$G$13*Division_Region_bef_Match!L111+'Matching Tabelle'!$G$15*Division_Region_bef_Match!L112+'Matching Tabelle'!$G$16*Division_Region_bef_Match!L114</f>
        <v>951.83</v>
      </c>
      <c r="D108" s="24">
        <f>'Matching Tabelle'!$G$13*Division_Region_bef_Match!M111+'Matching Tabelle'!$G$15*Division_Region_bef_Match!M112+'Matching Tabelle'!$G$16*Division_Region_bef_Match!M114</f>
        <v>1128.1500000000001</v>
      </c>
      <c r="E108" s="24">
        <f>'Matching Tabelle'!$G$13*Division_Region_bef_Match!N111+'Matching Tabelle'!$G$15*Division_Region_bef_Match!N112+'Matching Tabelle'!$G$16*Division_Region_bef_Match!N114</f>
        <v>500.05000000000007</v>
      </c>
      <c r="F108" s="24">
        <f>'Matching Tabelle'!$G$13*Division_Region_bef_Match!O111+'Matching Tabelle'!$G$15*Division_Region_bef_Match!O112+'Matching Tabelle'!$G$16*Division_Region_bef_Match!O114</f>
        <v>-1.01</v>
      </c>
      <c r="G108" s="24">
        <f>Sales_per_Division!S3</f>
        <v>2574.9</v>
      </c>
      <c r="H108" s="7">
        <f t="shared" si="0"/>
        <v>2579.02</v>
      </c>
      <c r="J108" s="1" t="s">
        <v>4</v>
      </c>
      <c r="K108" t="s">
        <v>26</v>
      </c>
      <c r="L108">
        <v>12</v>
      </c>
      <c r="M108" s="23">
        <v>1</v>
      </c>
      <c r="N108" s="23">
        <v>1</v>
      </c>
      <c r="O108" s="23">
        <v>-2</v>
      </c>
      <c r="P108">
        <v>12</v>
      </c>
    </row>
    <row r="109" spans="1:16" x14ac:dyDescent="0.25">
      <c r="A109" t="s">
        <v>69</v>
      </c>
      <c r="B109" t="s">
        <v>27</v>
      </c>
      <c r="C109" s="24">
        <f>L113+'Matching Tabelle'!$G$26*Division_Region_bef_Match!L111</f>
        <v>946.45646978490959</v>
      </c>
      <c r="D109" s="24">
        <f>M113+'Matching Tabelle'!$G$26*Division_Region_bef_Match!M111</f>
        <v>367.97097985660633</v>
      </c>
      <c r="E109" s="24">
        <f>N113+'Matching Tabelle'!$G$26*Division_Region_bef_Match!N111</f>
        <v>451.35404574940253</v>
      </c>
      <c r="F109" s="24">
        <f>O113+'Matching Tabelle'!$G$26*Division_Region_bef_Match!O111</f>
        <v>-7.3062478661659269E-2</v>
      </c>
      <c r="G109" s="24">
        <f>Sales_per_Division!S4</f>
        <v>1764.0508706043017</v>
      </c>
      <c r="H109" s="7">
        <f t="shared" si="0"/>
        <v>1765.7084329122567</v>
      </c>
      <c r="J109" s="1" t="s">
        <v>63</v>
      </c>
      <c r="K109" t="s">
        <v>26</v>
      </c>
      <c r="L109">
        <v>-338</v>
      </c>
      <c r="M109" s="23">
        <v>-213</v>
      </c>
      <c r="N109" s="23">
        <v>-113</v>
      </c>
      <c r="O109" s="23">
        <v>-1</v>
      </c>
      <c r="P109">
        <v>-665</v>
      </c>
    </row>
    <row r="110" spans="1:16" x14ac:dyDescent="0.25">
      <c r="A110" t="s">
        <v>70</v>
      </c>
      <c r="B110" t="s">
        <v>27</v>
      </c>
      <c r="C110">
        <f>L115</f>
        <v>716</v>
      </c>
      <c r="D110">
        <f t="shared" ref="D110:F112" si="7">M115</f>
        <v>272</v>
      </c>
      <c r="E110">
        <f t="shared" si="7"/>
        <v>141</v>
      </c>
      <c r="F110">
        <f t="shared" si="7"/>
        <v>-2</v>
      </c>
      <c r="G110" s="24">
        <f>Sales_per_Division!S5</f>
        <v>1145</v>
      </c>
      <c r="H110" s="7">
        <f t="shared" si="0"/>
        <v>1127</v>
      </c>
      <c r="J110" s="1" t="s">
        <v>5</v>
      </c>
      <c r="K110" t="s">
        <v>26</v>
      </c>
      <c r="L110">
        <v>4129</v>
      </c>
      <c r="M110">
        <v>2504</v>
      </c>
      <c r="N110">
        <v>1758</v>
      </c>
      <c r="O110">
        <v>-1</v>
      </c>
      <c r="P110">
        <v>8390</v>
      </c>
    </row>
    <row r="111" spans="1:16" x14ac:dyDescent="0.25">
      <c r="A111" t="s">
        <v>4</v>
      </c>
      <c r="B111" t="s">
        <v>27</v>
      </c>
      <c r="C111">
        <f t="shared" ref="C111:C112" si="8">L116</f>
        <v>-1</v>
      </c>
      <c r="D111">
        <f t="shared" si="7"/>
        <v>-1</v>
      </c>
      <c r="E111">
        <f t="shared" si="7"/>
        <v>0</v>
      </c>
      <c r="F111">
        <f t="shared" si="7"/>
        <v>2</v>
      </c>
      <c r="G111" s="24">
        <f>Sales_per_Division!S6</f>
        <v>0</v>
      </c>
      <c r="H111" s="7">
        <f t="shared" si="0"/>
        <v>0</v>
      </c>
      <c r="J111" s="1" t="s">
        <v>71</v>
      </c>
      <c r="K111" t="s">
        <v>27</v>
      </c>
      <c r="L111">
        <v>1416</v>
      </c>
      <c r="M111">
        <v>944</v>
      </c>
      <c r="N111">
        <v>785</v>
      </c>
      <c r="O111">
        <v>-1</v>
      </c>
      <c r="P111">
        <v>3144</v>
      </c>
    </row>
    <row r="112" spans="1:16" x14ac:dyDescent="0.25">
      <c r="A112" t="s">
        <v>63</v>
      </c>
      <c r="B112" t="s">
        <v>27</v>
      </c>
      <c r="C112">
        <f t="shared" si="8"/>
        <v>-308</v>
      </c>
      <c r="D112">
        <f t="shared" si="7"/>
        <v>-246</v>
      </c>
      <c r="E112">
        <f t="shared" si="7"/>
        <v>-109</v>
      </c>
      <c r="F112">
        <f t="shared" si="7"/>
        <v>1</v>
      </c>
      <c r="G112" s="24">
        <f>Sales_per_Division!S7</f>
        <v>-681.15747566353275</v>
      </c>
      <c r="H112" s="7">
        <f t="shared" si="0"/>
        <v>-662</v>
      </c>
      <c r="J112" s="1" t="s">
        <v>72</v>
      </c>
      <c r="K112" t="s">
        <v>27</v>
      </c>
      <c r="L112">
        <v>850</v>
      </c>
      <c r="M112">
        <v>497</v>
      </c>
      <c r="N112">
        <v>436</v>
      </c>
      <c r="O112">
        <v>0</v>
      </c>
      <c r="P112">
        <v>1783</v>
      </c>
    </row>
    <row r="113" spans="1:16" x14ac:dyDescent="0.25">
      <c r="A113" t="s">
        <v>5</v>
      </c>
      <c r="B113" t="s">
        <v>27</v>
      </c>
      <c r="C113" s="24">
        <f>SUM(C107:C112)</f>
        <v>3816.338569764539</v>
      </c>
      <c r="D113" s="24">
        <f t="shared" ref="D113:F113" si="9">SUM(D107:D112)</f>
        <v>2682.9806431483485</v>
      </c>
      <c r="E113" s="24">
        <f t="shared" si="9"/>
        <v>1794.8707754388886</v>
      </c>
      <c r="F113" s="24">
        <f t="shared" si="9"/>
        <v>-1.0075621931941097</v>
      </c>
      <c r="G113" s="24">
        <f>Sales_per_Division!S8</f>
        <v>8278</v>
      </c>
      <c r="H113" s="7">
        <f t="shared" si="0"/>
        <v>8293.1824261585825</v>
      </c>
      <c r="J113" s="1" t="s">
        <v>2</v>
      </c>
      <c r="K113" t="s">
        <v>27</v>
      </c>
      <c r="L113">
        <v>843</v>
      </c>
      <c r="M113">
        <v>299</v>
      </c>
      <c r="N113">
        <v>394</v>
      </c>
      <c r="O113">
        <v>0</v>
      </c>
      <c r="P113">
        <v>1536</v>
      </c>
    </row>
    <row r="114" spans="1:16" x14ac:dyDescent="0.25">
      <c r="A114" t="s">
        <v>67</v>
      </c>
      <c r="B114" t="s">
        <v>28</v>
      </c>
      <c r="C114" s="24">
        <f>'Matching Tabelle'!$G$3*Division_Region_bef_Match!L119+'Matching Tabelle'!$G$6*Division_Region_bef_Match!L122+'Matching Tabelle'!$G$8*Division_Region_bef_Match!L120</f>
        <v>1452.6843354344128</v>
      </c>
      <c r="D114" s="24">
        <f>'Matching Tabelle'!$G$3*Division_Region_bef_Match!M119+'Matching Tabelle'!$G$6*Division_Region_bef_Match!M122+'Matching Tabelle'!$G$8*Division_Region_bef_Match!M120</f>
        <v>1051.1998766321142</v>
      </c>
      <c r="E114" s="24">
        <f>'Matching Tabelle'!$G$3*Division_Region_bef_Match!N119+'Matching Tabelle'!$G$6*Division_Region_bef_Match!N122+'Matching Tabelle'!$G$8*Division_Region_bef_Match!N120</f>
        <v>747.66041296682556</v>
      </c>
      <c r="F114" s="24">
        <f>'Matching Tabelle'!$G$3*Division_Region_bef_Match!O119+'Matching Tabelle'!$G$6*Division_Region_bef_Match!O122+'Matching Tabelle'!$G$8*Division_Region_bef_Match!O120</f>
        <v>-2.6740795464652232</v>
      </c>
      <c r="G114" s="24">
        <f>Sales_per_Division!T2</f>
        <v>3248.8705454868873</v>
      </c>
      <c r="H114" s="7">
        <f t="shared" si="0"/>
        <v>3248.8705454868873</v>
      </c>
      <c r="J114" s="1" t="s">
        <v>73</v>
      </c>
      <c r="K114" t="s">
        <v>27</v>
      </c>
      <c r="L114">
        <v>295</v>
      </c>
      <c r="M114">
        <v>911</v>
      </c>
      <c r="N114">
        <v>145</v>
      </c>
      <c r="O114">
        <v>-1</v>
      </c>
      <c r="P114">
        <v>1350</v>
      </c>
    </row>
    <row r="115" spans="1:16" x14ac:dyDescent="0.25">
      <c r="A115" t="s">
        <v>68</v>
      </c>
      <c r="B115" t="s">
        <v>28</v>
      </c>
      <c r="C115" s="24">
        <f>'Matching Tabelle'!$G$13*Division_Region_bef_Match!L119+'Matching Tabelle'!$G$15*Division_Region_bef_Match!L120+'Matching Tabelle'!$G$16*Division_Region_bef_Match!L122</f>
        <v>921.34000000000015</v>
      </c>
      <c r="D115" s="24">
        <f>'Matching Tabelle'!$G$13*Division_Region_bef_Match!M119+'Matching Tabelle'!$G$15*Division_Region_bef_Match!M120+'Matching Tabelle'!$G$16*Division_Region_bef_Match!M122</f>
        <v>1092</v>
      </c>
      <c r="E115" s="24">
        <f>'Matching Tabelle'!$G$13*Division_Region_bef_Match!N119+'Matching Tabelle'!$G$15*Division_Region_bef_Match!N120+'Matching Tabelle'!$G$16*Division_Region_bef_Match!N122</f>
        <v>470.66</v>
      </c>
      <c r="F115" s="24">
        <f>'Matching Tabelle'!$G$13*Division_Region_bef_Match!O119+'Matching Tabelle'!$G$15*Division_Region_bef_Match!O120+'Matching Tabelle'!$G$16*Division_Region_bef_Match!O122</f>
        <v>-3.27</v>
      </c>
      <c r="G115" s="24">
        <f>Sales_per_Division!T3</f>
        <v>2480.7299999999996</v>
      </c>
      <c r="H115" s="7">
        <f t="shared" si="0"/>
        <v>2480.73</v>
      </c>
      <c r="J115" s="1" t="s">
        <v>3</v>
      </c>
      <c r="K115" t="s">
        <v>27</v>
      </c>
      <c r="L115">
        <v>716</v>
      </c>
      <c r="M115">
        <v>272</v>
      </c>
      <c r="N115">
        <v>141</v>
      </c>
      <c r="O115">
        <v>-2</v>
      </c>
      <c r="P115">
        <v>1127</v>
      </c>
    </row>
    <row r="116" spans="1:16" x14ac:dyDescent="0.25">
      <c r="A116" t="s">
        <v>69</v>
      </c>
      <c r="B116" t="s">
        <v>28</v>
      </c>
      <c r="C116" s="24">
        <f>L121+'Matching Tabelle'!$G$26*Division_Region_bef_Match!L119</f>
        <v>955.26459542505972</v>
      </c>
      <c r="D116" s="24">
        <f>M121+'Matching Tabelle'!$G$26*Division_Region_bef_Match!M119</f>
        <v>319.7606691703653</v>
      </c>
      <c r="E116" s="24">
        <f>N121+'Matching Tabelle'!$G$26*Division_Region_bef_Match!N119</f>
        <v>425.38579720040968</v>
      </c>
      <c r="F116" s="24">
        <f>O121+'Matching Tabelle'!$G$26*Division_Region_bef_Match!O119</f>
        <v>-7.3062478661659269E-2</v>
      </c>
      <c r="G116" s="24">
        <f>Sales_per_Division!T4</f>
        <v>1700.3379993171732</v>
      </c>
      <c r="H116" s="7">
        <f t="shared" si="0"/>
        <v>1700.3379993171732</v>
      </c>
      <c r="J116" s="1" t="s">
        <v>4</v>
      </c>
      <c r="K116" t="s">
        <v>27</v>
      </c>
      <c r="L116">
        <v>-1</v>
      </c>
      <c r="M116">
        <v>-1</v>
      </c>
      <c r="N116">
        <v>0</v>
      </c>
      <c r="O116">
        <v>2</v>
      </c>
      <c r="P116">
        <v>0</v>
      </c>
    </row>
    <row r="117" spans="1:16" x14ac:dyDescent="0.25">
      <c r="A117" t="s">
        <v>70</v>
      </c>
      <c r="B117" t="s">
        <v>28</v>
      </c>
      <c r="C117">
        <f>L123</f>
        <v>818</v>
      </c>
      <c r="D117">
        <f t="shared" ref="D117:F119" si="10">M123</f>
        <v>251</v>
      </c>
      <c r="E117">
        <f t="shared" si="10"/>
        <v>143</v>
      </c>
      <c r="F117">
        <f t="shared" si="10"/>
        <v>-2</v>
      </c>
      <c r="G117" s="24">
        <f>Sales_per_Division!T5</f>
        <v>1210</v>
      </c>
      <c r="H117" s="7">
        <f t="shared" si="0"/>
        <v>1210</v>
      </c>
      <c r="J117" s="1" t="s">
        <v>63</v>
      </c>
      <c r="K117" t="s">
        <v>27</v>
      </c>
      <c r="L117">
        <v>-308</v>
      </c>
      <c r="M117">
        <v>-246</v>
      </c>
      <c r="N117">
        <v>-109</v>
      </c>
      <c r="O117">
        <v>1</v>
      </c>
      <c r="P117">
        <v>-662</v>
      </c>
    </row>
    <row r="118" spans="1:16" x14ac:dyDescent="0.25">
      <c r="A118" t="s">
        <v>4</v>
      </c>
      <c r="B118" t="s">
        <v>28</v>
      </c>
      <c r="C118">
        <f t="shared" ref="C118:C119" si="11">L124</f>
        <v>-6</v>
      </c>
      <c r="D118">
        <f t="shared" si="10"/>
        <v>0</v>
      </c>
      <c r="E118">
        <f t="shared" si="10"/>
        <v>1</v>
      </c>
      <c r="F118">
        <f t="shared" si="10"/>
        <v>2</v>
      </c>
      <c r="G118" s="24">
        <f>Sales_per_Division!T6</f>
        <v>-3</v>
      </c>
      <c r="H118" s="7">
        <f t="shared" si="0"/>
        <v>-3</v>
      </c>
      <c r="J118" s="1" t="s">
        <v>5</v>
      </c>
      <c r="K118" t="s">
        <v>27</v>
      </c>
      <c r="L118">
        <v>3811</v>
      </c>
      <c r="M118">
        <v>2676</v>
      </c>
      <c r="N118">
        <v>1792</v>
      </c>
      <c r="O118">
        <v>-1</v>
      </c>
      <c r="P118">
        <v>8278</v>
      </c>
    </row>
    <row r="119" spans="1:16" x14ac:dyDescent="0.25">
      <c r="A119" t="s">
        <v>63</v>
      </c>
      <c r="B119" t="s">
        <v>28</v>
      </c>
      <c r="C119">
        <f t="shared" si="11"/>
        <v>-299</v>
      </c>
      <c r="D119">
        <f t="shared" si="10"/>
        <v>-233</v>
      </c>
      <c r="E119">
        <f t="shared" si="10"/>
        <v>-100</v>
      </c>
      <c r="F119">
        <f t="shared" si="10"/>
        <v>0</v>
      </c>
      <c r="G119" s="24">
        <f>Sales_per_Division!T7</f>
        <v>-646.93854480405935</v>
      </c>
      <c r="H119" s="7">
        <f t="shared" si="0"/>
        <v>-632</v>
      </c>
      <c r="J119" s="1" t="s">
        <v>71</v>
      </c>
      <c r="K119" t="s">
        <v>28</v>
      </c>
      <c r="L119" s="23">
        <v>1386</v>
      </c>
      <c r="M119" s="23">
        <v>859</v>
      </c>
      <c r="N119" s="23">
        <v>717</v>
      </c>
      <c r="O119" s="23">
        <v>-1</v>
      </c>
      <c r="P119" s="23">
        <v>2961</v>
      </c>
    </row>
    <row r="120" spans="1:16" x14ac:dyDescent="0.25">
      <c r="A120" t="s">
        <v>5</v>
      </c>
      <c r="B120" t="s">
        <v>28</v>
      </c>
      <c r="C120" s="24">
        <f>SUM(C114:C119)</f>
        <v>3842.2889308594731</v>
      </c>
      <c r="D120" s="24">
        <f t="shared" ref="D120:F120" si="12">SUM(D114:D119)</f>
        <v>2480.9605458024794</v>
      </c>
      <c r="E120" s="24">
        <f t="shared" si="12"/>
        <v>1687.7062101672354</v>
      </c>
      <c r="F120" s="24">
        <f t="shared" si="12"/>
        <v>-6.0171420251268835</v>
      </c>
      <c r="G120" s="24">
        <f>Sales_per_Division!T8</f>
        <v>7990</v>
      </c>
      <c r="H120" s="7">
        <f t="shared" si="0"/>
        <v>8004.9385448040612</v>
      </c>
      <c r="J120" s="1" t="s">
        <v>72</v>
      </c>
      <c r="K120" t="s">
        <v>28</v>
      </c>
      <c r="L120" s="23">
        <v>782</v>
      </c>
      <c r="M120" s="23">
        <v>384</v>
      </c>
      <c r="N120" s="23">
        <v>401</v>
      </c>
      <c r="O120" s="23">
        <v>-2</v>
      </c>
      <c r="P120" s="23">
        <v>1565</v>
      </c>
    </row>
    <row r="121" spans="1:16" x14ac:dyDescent="0.25">
      <c r="A121" t="s">
        <v>67</v>
      </c>
      <c r="B121" t="s">
        <v>29</v>
      </c>
      <c r="C121" s="24">
        <f>'Matching Tabelle'!$G$3*Division_Region_bef_Match!L127+'Matching Tabelle'!$G$6*Division_Region_bef_Match!L130+'Matching Tabelle'!$G$8*Division_Region_bef_Match!L128</f>
        <v>1504.6176639860453</v>
      </c>
      <c r="D121" s="24">
        <f>'Matching Tabelle'!$G$3*Division_Region_bef_Match!M127+'Matching Tabelle'!$G$6*Division_Region_bef_Match!M130+'Matching Tabelle'!$G$8*Division_Region_bef_Match!M128</f>
        <v>1103.2441723019012</v>
      </c>
      <c r="E121" s="24">
        <f>'Matching Tabelle'!$G$3*Division_Region_bef_Match!N127+'Matching Tabelle'!$G$6*Division_Region_bef_Match!N130+'Matching Tabelle'!$G$8*Division_Region_bef_Match!N128</f>
        <v>705.01702706347146</v>
      </c>
      <c r="F121" s="24">
        <f>'Matching Tabelle'!$G$3*Division_Region_bef_Match!O127+'Matching Tabelle'!$G$6*Division_Region_bef_Match!O130+'Matching Tabelle'!$G$8*Division_Region_bef_Match!O128</f>
        <v>-1.8994195971321273</v>
      </c>
      <c r="G121" s="24">
        <f>Sales_per_Division!U2</f>
        <v>3310.979443754286</v>
      </c>
      <c r="H121" s="7">
        <f t="shared" si="0"/>
        <v>3310.9794437542855</v>
      </c>
      <c r="J121" s="1" t="s">
        <v>2</v>
      </c>
      <c r="K121" t="s">
        <v>28</v>
      </c>
      <c r="L121" s="23">
        <v>854</v>
      </c>
      <c r="M121" s="23">
        <v>257</v>
      </c>
      <c r="N121" s="23">
        <v>373</v>
      </c>
      <c r="O121" s="23">
        <v>0</v>
      </c>
      <c r="P121" s="23">
        <v>1484</v>
      </c>
    </row>
    <row r="122" spans="1:16" x14ac:dyDescent="0.25">
      <c r="A122" t="s">
        <v>68</v>
      </c>
      <c r="B122" t="s">
        <v>29</v>
      </c>
      <c r="C122" s="24">
        <f>'Matching Tabelle'!$G$13*Division_Region_bef_Match!L127+'Matching Tabelle'!$G$15*Division_Region_bef_Match!L128+'Matching Tabelle'!$G$16*Division_Region_bef_Match!L130</f>
        <v>948.48</v>
      </c>
      <c r="D122" s="24">
        <f>'Matching Tabelle'!$G$13*Division_Region_bef_Match!M127+'Matching Tabelle'!$G$15*Division_Region_bef_Match!M128+'Matching Tabelle'!$G$16*Division_Region_bef_Match!M130</f>
        <v>1184.81</v>
      </c>
      <c r="E122" s="24">
        <f>'Matching Tabelle'!$G$13*Division_Region_bef_Match!N127+'Matching Tabelle'!$G$15*Division_Region_bef_Match!N128+'Matching Tabelle'!$G$16*Division_Region_bef_Match!N130</f>
        <v>440.46000000000004</v>
      </c>
      <c r="F122" s="24">
        <f>'Matching Tabelle'!$G$13*Division_Region_bef_Match!O127+'Matching Tabelle'!$G$15*Division_Region_bef_Match!O128+'Matching Tabelle'!$G$16*Division_Region_bef_Match!O130</f>
        <v>-0.96000000000000008</v>
      </c>
      <c r="G122" s="24">
        <f>Sales_per_Division!U3</f>
        <v>2572.79</v>
      </c>
      <c r="H122" s="7">
        <f t="shared" si="0"/>
        <v>2572.79</v>
      </c>
      <c r="J122" s="1" t="s">
        <v>73</v>
      </c>
      <c r="K122" t="s">
        <v>28</v>
      </c>
      <c r="L122" s="23">
        <v>302</v>
      </c>
      <c r="M122" s="23">
        <v>956</v>
      </c>
      <c r="N122" s="23">
        <v>150</v>
      </c>
      <c r="O122" s="23">
        <v>-3</v>
      </c>
      <c r="P122" s="23">
        <v>1405</v>
      </c>
    </row>
    <row r="123" spans="1:16" x14ac:dyDescent="0.25">
      <c r="A123" t="s">
        <v>69</v>
      </c>
      <c r="B123" t="s">
        <v>29</v>
      </c>
      <c r="C123" s="24">
        <f>L129+'Matching Tabelle'!$G$26*Division_Region_bef_Match!L127</f>
        <v>975.3560942301126</v>
      </c>
      <c r="D123" s="24">
        <f>M129+'Matching Tabelle'!$G$26*Division_Region_bef_Match!M127</f>
        <v>327.51416865824513</v>
      </c>
      <c r="E123" s="24">
        <f>N129+'Matching Tabelle'!$G$26*Division_Region_bef_Match!N127</f>
        <v>405.1437350631615</v>
      </c>
      <c r="F123" s="24">
        <f>O129+'Matching Tabelle'!$G$26*Division_Region_bef_Match!O127</f>
        <v>-2.1461249573233188</v>
      </c>
      <c r="G123" s="24">
        <f>Sales_per_Division!U4</f>
        <v>1705.867872994196</v>
      </c>
      <c r="H123" s="7">
        <f t="shared" si="0"/>
        <v>1705.867872994196</v>
      </c>
      <c r="J123" s="1" t="s">
        <v>3</v>
      </c>
      <c r="K123" t="s">
        <v>28</v>
      </c>
      <c r="L123" s="23">
        <v>818</v>
      </c>
      <c r="M123" s="23">
        <v>251</v>
      </c>
      <c r="N123" s="23">
        <v>143</v>
      </c>
      <c r="O123" s="23">
        <v>-2</v>
      </c>
      <c r="P123" s="23">
        <v>1210</v>
      </c>
    </row>
    <row r="124" spans="1:16" x14ac:dyDescent="0.25">
      <c r="A124" t="s">
        <v>70</v>
      </c>
      <c r="B124" t="s">
        <v>29</v>
      </c>
      <c r="C124">
        <f>L131</f>
        <v>897</v>
      </c>
      <c r="D124">
        <f t="shared" ref="D124:F126" si="13">M131</f>
        <v>242</v>
      </c>
      <c r="E124">
        <f t="shared" si="13"/>
        <v>139</v>
      </c>
      <c r="F124">
        <f t="shared" si="13"/>
        <v>1</v>
      </c>
      <c r="G124" s="24">
        <f>Sales_per_Division!U5</f>
        <v>1279</v>
      </c>
      <c r="H124" s="7">
        <f t="shared" si="0"/>
        <v>1279</v>
      </c>
      <c r="J124" s="1" t="s">
        <v>4</v>
      </c>
      <c r="K124" t="s">
        <v>28</v>
      </c>
      <c r="L124" s="7">
        <v>-6</v>
      </c>
      <c r="M124" s="23">
        <v>0</v>
      </c>
      <c r="N124" s="23">
        <v>1</v>
      </c>
      <c r="O124" s="23">
        <v>2</v>
      </c>
      <c r="P124" s="23">
        <v>-3</v>
      </c>
    </row>
    <row r="125" spans="1:16" x14ac:dyDescent="0.25">
      <c r="A125" t="s">
        <v>4</v>
      </c>
      <c r="B125" t="s">
        <v>29</v>
      </c>
      <c r="C125">
        <f t="shared" ref="C125:C126" si="14">L132</f>
        <v>4</v>
      </c>
      <c r="D125">
        <f t="shared" si="13"/>
        <v>-1</v>
      </c>
      <c r="E125">
        <f t="shared" si="13"/>
        <v>0</v>
      </c>
      <c r="F125">
        <f t="shared" si="13"/>
        <v>0</v>
      </c>
      <c r="G125" s="24">
        <f>Sales_per_Division!U6</f>
        <v>3</v>
      </c>
      <c r="H125" s="7">
        <f t="shared" si="0"/>
        <v>3</v>
      </c>
      <c r="J125" s="1" t="s">
        <v>63</v>
      </c>
      <c r="K125" t="s">
        <v>28</v>
      </c>
      <c r="L125" s="23">
        <v>-299</v>
      </c>
      <c r="M125" s="23">
        <v>-233</v>
      </c>
      <c r="N125" s="23">
        <v>-100</v>
      </c>
      <c r="O125" s="23">
        <v>0</v>
      </c>
      <c r="P125" s="23">
        <v>-632</v>
      </c>
    </row>
    <row r="126" spans="1:16" x14ac:dyDescent="0.25">
      <c r="A126" t="s">
        <v>63</v>
      </c>
      <c r="B126" t="s">
        <v>29</v>
      </c>
      <c r="C126">
        <f t="shared" si="14"/>
        <v>-317</v>
      </c>
      <c r="D126">
        <f t="shared" si="13"/>
        <v>-269</v>
      </c>
      <c r="E126">
        <f t="shared" si="13"/>
        <v>-98</v>
      </c>
      <c r="F126">
        <f t="shared" si="13"/>
        <v>0</v>
      </c>
      <c r="G126" s="24">
        <f>Sales_per_Division!U7</f>
        <v>-699.63731674848168</v>
      </c>
      <c r="H126" s="7">
        <f t="shared" si="0"/>
        <v>-684</v>
      </c>
      <c r="J126" s="1" t="s">
        <v>5</v>
      </c>
      <c r="K126" t="s">
        <v>28</v>
      </c>
      <c r="L126" s="23">
        <v>3837</v>
      </c>
      <c r="M126" s="23">
        <v>2474</v>
      </c>
      <c r="N126" s="23">
        <v>1685</v>
      </c>
      <c r="O126" s="23">
        <v>-6</v>
      </c>
      <c r="P126" s="23">
        <v>7990</v>
      </c>
    </row>
    <row r="127" spans="1:16" x14ac:dyDescent="0.25">
      <c r="A127" t="s">
        <v>5</v>
      </c>
      <c r="B127" t="s">
        <v>29</v>
      </c>
      <c r="C127" s="24">
        <f>SUM(C121:C126)</f>
        <v>4012.4537582161583</v>
      </c>
      <c r="D127" s="24">
        <f t="shared" ref="D127:F127" si="15">SUM(D121:D126)</f>
        <v>2587.5683409601465</v>
      </c>
      <c r="E127" s="24">
        <f t="shared" si="15"/>
        <v>1591.6207621266331</v>
      </c>
      <c r="F127" s="24">
        <f t="shared" si="15"/>
        <v>-4.0055445544554455</v>
      </c>
      <c r="G127" s="24">
        <f>Sales_per_Division!U8</f>
        <v>8172</v>
      </c>
      <c r="H127" s="7">
        <f t="shared" si="0"/>
        <v>8187.6373167484826</v>
      </c>
      <c r="J127" s="1" t="s">
        <v>71</v>
      </c>
      <c r="K127" t="s">
        <v>29</v>
      </c>
      <c r="L127">
        <v>1442</v>
      </c>
      <c r="M127">
        <v>883</v>
      </c>
      <c r="N127">
        <v>700</v>
      </c>
      <c r="O127" s="23">
        <v>-2</v>
      </c>
      <c r="P127" s="23">
        <v>3023</v>
      </c>
    </row>
    <row r="128" spans="1:16" x14ac:dyDescent="0.25">
      <c r="A128" t="s">
        <v>67</v>
      </c>
      <c r="B128" t="s">
        <v>30</v>
      </c>
      <c r="C128" s="24">
        <f>'Matching Tabelle'!$G$3*Division_Region_bef_Match!L135+'Matching Tabelle'!$G$6*Division_Region_bef_Match!L138+'Matching Tabelle'!$G$8*Division_Region_bef_Match!L136</f>
        <v>1510.6225671422549</v>
      </c>
      <c r="D128" s="24">
        <f>'Matching Tabelle'!$G$3*Division_Region_bef_Match!M135+'Matching Tabelle'!$G$6*Division_Region_bef_Match!M138+'Matching Tabelle'!$G$8*Division_Region_bef_Match!M136</f>
        <v>983.21031498977209</v>
      </c>
      <c r="E128" s="24">
        <f>'Matching Tabelle'!$G$3*Division_Region_bef_Match!N135+'Matching Tabelle'!$G$6*Division_Region_bef_Match!N138+'Matching Tabelle'!$G$8*Division_Region_bef_Match!N136</f>
        <v>716.41567575476768</v>
      </c>
      <c r="F128" s="24">
        <f>'Matching Tabelle'!$G$3*Division_Region_bef_Match!O135+'Matching Tabelle'!$G$6*Division_Region_bef_Match!O138+'Matching Tabelle'!$G$8*Division_Region_bef_Match!O136</f>
        <v>-0.32449971453245019</v>
      </c>
      <c r="G128" s="24">
        <f>Sales_per_Division!V2</f>
        <v>3209.924058172262</v>
      </c>
      <c r="H128" s="7">
        <f t="shared" si="0"/>
        <v>3209.924058172262</v>
      </c>
      <c r="J128" s="1" t="s">
        <v>72</v>
      </c>
      <c r="K128" t="s">
        <v>29</v>
      </c>
      <c r="L128">
        <v>807</v>
      </c>
      <c r="M128">
        <v>393</v>
      </c>
      <c r="N128">
        <v>352</v>
      </c>
      <c r="O128" s="23">
        <v>-1</v>
      </c>
      <c r="P128" s="23">
        <v>1551</v>
      </c>
    </row>
    <row r="129" spans="1:16" x14ac:dyDescent="0.25">
      <c r="A129" t="s">
        <v>68</v>
      </c>
      <c r="B129" t="s">
        <v>30</v>
      </c>
      <c r="C129" s="24">
        <f>'Matching Tabelle'!$G$13*Division_Region_bef_Match!L135+'Matching Tabelle'!$G$15*Division_Region_bef_Match!L136+'Matching Tabelle'!$G$16*Division_Region_bef_Match!L138</f>
        <v>952.44</v>
      </c>
      <c r="D129" s="24">
        <f>'Matching Tabelle'!$G$13*Division_Region_bef_Match!M135+'Matching Tabelle'!$G$15*Division_Region_bef_Match!M136+'Matching Tabelle'!$G$16*Division_Region_bef_Match!M138</f>
        <v>998.95</v>
      </c>
      <c r="E129" s="24">
        <f>'Matching Tabelle'!$G$13*Division_Region_bef_Match!N135+'Matching Tabelle'!$G$15*Division_Region_bef_Match!N136+'Matching Tabelle'!$G$16*Division_Region_bef_Match!N138</f>
        <v>443.4</v>
      </c>
      <c r="F129" s="24">
        <f>'Matching Tabelle'!$G$13*Division_Region_bef_Match!O135+'Matching Tabelle'!$G$15*Division_Region_bef_Match!O136+'Matching Tabelle'!$G$16*Division_Region_bef_Match!O138</f>
        <v>-0.61</v>
      </c>
      <c r="G129" s="24">
        <f>Sales_per_Division!V3</f>
        <v>2394.1799999999998</v>
      </c>
      <c r="H129" s="7">
        <f t="shared" si="0"/>
        <v>2394.1799999999998</v>
      </c>
      <c r="J129" s="1" t="s">
        <v>2</v>
      </c>
      <c r="K129" t="s">
        <v>29</v>
      </c>
      <c r="L129">
        <v>870</v>
      </c>
      <c r="M129">
        <v>263</v>
      </c>
      <c r="N129">
        <v>354</v>
      </c>
      <c r="O129" s="23">
        <v>-2</v>
      </c>
      <c r="P129" s="23">
        <v>1485</v>
      </c>
    </row>
    <row r="130" spans="1:16" x14ac:dyDescent="0.25">
      <c r="A130" t="s">
        <v>69</v>
      </c>
      <c r="B130" t="s">
        <v>30</v>
      </c>
      <c r="C130" s="24">
        <f>L137+'Matching Tabelle'!$G$26*Division_Region_bef_Match!L135</f>
        <v>938.33321952884944</v>
      </c>
      <c r="D130" s="24">
        <f>M137+'Matching Tabelle'!$G$26*Division_Region_bef_Match!M135</f>
        <v>320.18060771594401</v>
      </c>
      <c r="E130" s="24">
        <f>N137+'Matching Tabelle'!$G$26*Division_Region_bef_Match!N135</f>
        <v>404.80129737111645</v>
      </c>
      <c r="F130" s="24">
        <f>O137+'Matching Tabelle'!$G$26*Division_Region_bef_Match!O135</f>
        <v>0.92693752133834073</v>
      </c>
      <c r="G130" s="24">
        <f>Sales_per_Division!V4</f>
        <v>1664.2420621372482</v>
      </c>
      <c r="H130" s="7">
        <f t="shared" si="0"/>
        <v>1664.2420621372482</v>
      </c>
      <c r="J130" s="1" t="s">
        <v>73</v>
      </c>
      <c r="K130" t="s">
        <v>29</v>
      </c>
      <c r="L130">
        <v>304</v>
      </c>
      <c r="M130">
        <v>1069</v>
      </c>
      <c r="N130">
        <v>142</v>
      </c>
      <c r="O130" s="23">
        <v>0</v>
      </c>
      <c r="P130" s="23">
        <v>1515</v>
      </c>
    </row>
    <row r="131" spans="1:16" x14ac:dyDescent="0.25">
      <c r="A131" t="s">
        <v>70</v>
      </c>
      <c r="B131" t="s">
        <v>30</v>
      </c>
      <c r="C131">
        <f>L139</f>
        <v>799</v>
      </c>
      <c r="D131">
        <f t="shared" ref="D131:F133" si="16">M139</f>
        <v>231</v>
      </c>
      <c r="E131">
        <f t="shared" si="16"/>
        <v>139</v>
      </c>
      <c r="F131">
        <f t="shared" si="16"/>
        <v>0</v>
      </c>
      <c r="G131" s="24">
        <f>Sales_per_Division!V5</f>
        <v>1169</v>
      </c>
      <c r="H131" s="7">
        <f t="shared" si="0"/>
        <v>1169</v>
      </c>
      <c r="J131" s="1" t="s">
        <v>3</v>
      </c>
      <c r="K131" t="s">
        <v>29</v>
      </c>
      <c r="L131">
        <v>897</v>
      </c>
      <c r="M131">
        <v>242</v>
      </c>
      <c r="N131">
        <v>139</v>
      </c>
      <c r="O131" s="23">
        <v>1</v>
      </c>
      <c r="P131" s="23">
        <v>1279</v>
      </c>
    </row>
    <row r="132" spans="1:16" x14ac:dyDescent="0.25">
      <c r="A132" t="s">
        <v>4</v>
      </c>
      <c r="B132" t="s">
        <v>30</v>
      </c>
      <c r="C132">
        <f t="shared" ref="C132:C133" si="17">L140</f>
        <v>1</v>
      </c>
      <c r="D132">
        <f t="shared" si="16"/>
        <v>2</v>
      </c>
      <c r="E132">
        <f t="shared" si="16"/>
        <v>0</v>
      </c>
      <c r="F132">
        <f t="shared" si="16"/>
        <v>-1</v>
      </c>
      <c r="G132" s="24">
        <f>Sales_per_Division!V6</f>
        <v>2</v>
      </c>
      <c r="H132" s="7">
        <f t="shared" si="0"/>
        <v>2</v>
      </c>
      <c r="J132" s="1" t="s">
        <v>4</v>
      </c>
      <c r="K132" t="s">
        <v>29</v>
      </c>
      <c r="L132">
        <v>4</v>
      </c>
      <c r="M132">
        <v>-1</v>
      </c>
      <c r="N132">
        <v>0</v>
      </c>
      <c r="O132" s="23">
        <v>0</v>
      </c>
      <c r="P132" s="23">
        <v>3</v>
      </c>
    </row>
    <row r="133" spans="1:16" x14ac:dyDescent="0.25">
      <c r="A133" t="s">
        <v>63</v>
      </c>
      <c r="B133" t="s">
        <v>30</v>
      </c>
      <c r="C133">
        <f t="shared" si="17"/>
        <v>-312</v>
      </c>
      <c r="D133">
        <f t="shared" si="16"/>
        <v>-207</v>
      </c>
      <c r="E133">
        <f t="shared" si="16"/>
        <v>-96</v>
      </c>
      <c r="F133">
        <f t="shared" si="16"/>
        <v>0</v>
      </c>
      <c r="G133" s="24">
        <f>Sales_per_Division!V7</f>
        <v>-629.3461203095103</v>
      </c>
      <c r="H133" s="7">
        <f t="shared" si="0"/>
        <v>-615</v>
      </c>
      <c r="J133" s="1" t="s">
        <v>63</v>
      </c>
      <c r="K133" t="s">
        <v>29</v>
      </c>
      <c r="L133">
        <v>-317</v>
      </c>
      <c r="M133">
        <v>-269</v>
      </c>
      <c r="N133">
        <v>-98</v>
      </c>
      <c r="O133" s="23">
        <v>0</v>
      </c>
      <c r="P133" s="23">
        <v>-684</v>
      </c>
    </row>
    <row r="134" spans="1:16" x14ac:dyDescent="0.25">
      <c r="A134" t="s">
        <v>5</v>
      </c>
      <c r="B134" t="s">
        <v>30</v>
      </c>
      <c r="C134" s="24">
        <f>SUM(C128:C133)</f>
        <v>3889.3957866711044</v>
      </c>
      <c r="D134" s="24">
        <f t="shared" ref="D134:F134" si="18">SUM(D128:D133)</f>
        <v>2328.3409227057164</v>
      </c>
      <c r="E134" s="24">
        <f t="shared" si="18"/>
        <v>1607.6169731258842</v>
      </c>
      <c r="F134" s="24">
        <f t="shared" si="18"/>
        <v>-1.0075621931941094</v>
      </c>
      <c r="G134" s="24">
        <f>Sales_per_Division!V8</f>
        <v>7810</v>
      </c>
      <c r="H134" s="7">
        <f t="shared" si="0"/>
        <v>7824.3461203095112</v>
      </c>
      <c r="J134" s="1" t="s">
        <v>5</v>
      </c>
      <c r="K134" t="s">
        <v>29</v>
      </c>
      <c r="L134">
        <v>4007</v>
      </c>
      <c r="M134">
        <v>2580</v>
      </c>
      <c r="N134">
        <v>1589</v>
      </c>
      <c r="O134">
        <v>-4</v>
      </c>
      <c r="P134">
        <v>8172</v>
      </c>
    </row>
    <row r="135" spans="1:16" x14ac:dyDescent="0.25">
      <c r="A135" t="s">
        <v>67</v>
      </c>
      <c r="B135" t="s">
        <v>31</v>
      </c>
      <c r="C135" s="24">
        <f>'Matching Tabelle'!$G$3*Division_Region_bef_Match!L143+'Matching Tabelle'!$G$6*Division_Region_bef_Match!L146+'Matching Tabelle'!$G$8*Division_Region_bef_Match!L144</f>
        <v>1443.8853057371807</v>
      </c>
      <c r="D135" s="24">
        <f>'Matching Tabelle'!$G$3*Division_Region_bef_Match!M143+'Matching Tabelle'!$G$6*Division_Region_bef_Match!M146+'Matching Tabelle'!$G$8*Division_Region_bef_Match!M144</f>
        <v>1046.6486766642472</v>
      </c>
      <c r="E135" s="24">
        <f>'Matching Tabelle'!$G$3*Division_Region_bef_Match!N143+'Matching Tabelle'!$G$6*Division_Region_bef_Match!N146+'Matching Tabelle'!$G$8*Division_Region_bef_Match!N144</f>
        <v>702.0929777851735</v>
      </c>
      <c r="F135" s="24">
        <f>'Matching Tabelle'!$G$3*Division_Region_bef_Match!O143+'Matching Tabelle'!$G$6*Division_Region_bef_Match!O146+'Matching Tabelle'!$G$8*Division_Region_bef_Match!O144</f>
        <v>-0.3252100840336134</v>
      </c>
      <c r="G135" s="24">
        <f>Sales_per_Division!W2</f>
        <v>3192.3017501025679</v>
      </c>
      <c r="H135" s="7">
        <f t="shared" si="0"/>
        <v>3192.3017501025679</v>
      </c>
      <c r="J135" s="1" t="s">
        <v>71</v>
      </c>
      <c r="K135" t="s">
        <v>30</v>
      </c>
      <c r="L135">
        <v>1428</v>
      </c>
      <c r="M135">
        <v>810</v>
      </c>
      <c r="N135">
        <v>709</v>
      </c>
      <c r="O135">
        <v>-1</v>
      </c>
      <c r="P135">
        <v>2946</v>
      </c>
    </row>
    <row r="136" spans="1:16" x14ac:dyDescent="0.25">
      <c r="A136" t="s">
        <v>68</v>
      </c>
      <c r="B136" t="s">
        <v>31</v>
      </c>
      <c r="C136" s="24">
        <f>'Matching Tabelle'!$G$13*Division_Region_bef_Match!L143+'Matching Tabelle'!$G$15*Division_Region_bef_Match!L144+'Matching Tabelle'!$G$16*Division_Region_bef_Match!L146</f>
        <v>912.04</v>
      </c>
      <c r="D136" s="24">
        <f>'Matching Tabelle'!$G$13*Division_Region_bef_Match!M143+'Matching Tabelle'!$G$15*Division_Region_bef_Match!M144+'Matching Tabelle'!$G$16*Division_Region_bef_Match!M146</f>
        <v>1032.47</v>
      </c>
      <c r="E136" s="24">
        <f>'Matching Tabelle'!$G$13*Division_Region_bef_Match!N143+'Matching Tabelle'!$G$15*Division_Region_bef_Match!N144+'Matching Tabelle'!$G$16*Division_Region_bef_Match!N146</f>
        <v>439.67</v>
      </c>
      <c r="F136" s="24">
        <f>'Matching Tabelle'!$G$13*Division_Region_bef_Match!O143+'Matching Tabelle'!$G$15*Division_Region_bef_Match!O144+'Matching Tabelle'!$G$16*Division_Region_bef_Match!O146</f>
        <v>0.32999999999999996</v>
      </c>
      <c r="G136" s="24">
        <f>Sales_per_Division!W3</f>
        <v>2384.5099999999998</v>
      </c>
      <c r="H136" s="7">
        <f t="shared" si="0"/>
        <v>2384.5099999999998</v>
      </c>
      <c r="J136" s="1" t="s">
        <v>72</v>
      </c>
      <c r="K136" t="s">
        <v>30</v>
      </c>
      <c r="L136">
        <v>834</v>
      </c>
      <c r="M136">
        <v>370</v>
      </c>
      <c r="N136">
        <v>364</v>
      </c>
      <c r="O136">
        <v>1</v>
      </c>
      <c r="P136">
        <v>1569</v>
      </c>
    </row>
    <row r="137" spans="1:16" x14ac:dyDescent="0.25">
      <c r="A137" t="s">
        <v>69</v>
      </c>
      <c r="B137" t="s">
        <v>31</v>
      </c>
      <c r="C137" s="24">
        <f>L145+'Matching Tabelle'!$G$26*Division_Region_bef_Match!L143</f>
        <v>924.33765790372138</v>
      </c>
      <c r="D137" s="24">
        <f>M145+'Matching Tabelle'!$G$26*Division_Region_bef_Match!M143</f>
        <v>322.32229429839538</v>
      </c>
      <c r="E137" s="24">
        <f>N145+'Matching Tabelle'!$G$26*Division_Region_bef_Match!N143</f>
        <v>403.85148514851483</v>
      </c>
      <c r="F137" s="24">
        <f>O145+'Matching Tabelle'!$G$26*Division_Region_bef_Match!O143</f>
        <v>-1</v>
      </c>
      <c r="G137" s="24">
        <f>Sales_per_Division!W4</f>
        <v>1649.5114373506317</v>
      </c>
      <c r="H137" s="7">
        <f t="shared" si="0"/>
        <v>1649.5114373506317</v>
      </c>
      <c r="J137" s="1" t="s">
        <v>2</v>
      </c>
      <c r="K137" t="s">
        <v>30</v>
      </c>
      <c r="L137">
        <v>834</v>
      </c>
      <c r="M137">
        <v>261</v>
      </c>
      <c r="N137">
        <v>353</v>
      </c>
      <c r="O137">
        <v>1</v>
      </c>
      <c r="P137">
        <v>1449</v>
      </c>
    </row>
    <row r="138" spans="1:16" x14ac:dyDescent="0.25">
      <c r="A138" t="s">
        <v>70</v>
      </c>
      <c r="B138" t="s">
        <v>31</v>
      </c>
      <c r="C138">
        <f>L147</f>
        <v>689</v>
      </c>
      <c r="D138">
        <f t="shared" ref="D138:F140" si="19">M147</f>
        <v>259</v>
      </c>
      <c r="E138">
        <f t="shared" si="19"/>
        <v>126</v>
      </c>
      <c r="F138">
        <f t="shared" si="19"/>
        <v>-1</v>
      </c>
      <c r="G138" s="24">
        <f>Sales_per_Division!W5</f>
        <v>1073</v>
      </c>
      <c r="H138" s="7">
        <f t="shared" si="0"/>
        <v>1073</v>
      </c>
      <c r="J138" s="1" t="s">
        <v>73</v>
      </c>
      <c r="K138" t="s">
        <v>30</v>
      </c>
      <c r="L138">
        <v>300</v>
      </c>
      <c r="M138">
        <v>855</v>
      </c>
      <c r="N138">
        <v>136</v>
      </c>
      <c r="O138">
        <v>-1</v>
      </c>
      <c r="P138">
        <v>1290</v>
      </c>
    </row>
    <row r="139" spans="1:16" x14ac:dyDescent="0.25">
      <c r="A139" t="s">
        <v>4</v>
      </c>
      <c r="B139" t="s">
        <v>31</v>
      </c>
      <c r="C139">
        <f t="shared" ref="C139:C140" si="20">L148</f>
        <v>2</v>
      </c>
      <c r="D139">
        <f t="shared" si="19"/>
        <v>-1</v>
      </c>
      <c r="E139">
        <f t="shared" si="19"/>
        <v>0</v>
      </c>
      <c r="F139">
        <f t="shared" si="19"/>
        <v>0</v>
      </c>
      <c r="G139" s="24">
        <f>Sales_per_Division!W6</f>
        <v>1</v>
      </c>
      <c r="H139" s="7">
        <f t="shared" si="0"/>
        <v>1</v>
      </c>
      <c r="J139" s="1" t="s">
        <v>3</v>
      </c>
      <c r="K139" t="s">
        <v>30</v>
      </c>
      <c r="L139">
        <v>799</v>
      </c>
      <c r="M139">
        <v>231</v>
      </c>
      <c r="N139">
        <v>139</v>
      </c>
      <c r="O139">
        <v>0</v>
      </c>
      <c r="P139">
        <v>1169</v>
      </c>
    </row>
    <row r="140" spans="1:16" x14ac:dyDescent="0.25">
      <c r="A140" t="s">
        <v>63</v>
      </c>
      <c r="B140" t="s">
        <v>31</v>
      </c>
      <c r="C140">
        <f t="shared" si="20"/>
        <v>-289</v>
      </c>
      <c r="D140">
        <f t="shared" si="19"/>
        <v>-220</v>
      </c>
      <c r="E140">
        <f t="shared" si="19"/>
        <v>-92</v>
      </c>
      <c r="F140">
        <f t="shared" si="19"/>
        <v>0</v>
      </c>
      <c r="G140" s="24">
        <f>Sales_per_Division!W7</f>
        <v>-615.32318745319935</v>
      </c>
      <c r="H140" s="7">
        <f t="shared" si="0"/>
        <v>-601</v>
      </c>
      <c r="J140" s="1" t="s">
        <v>4</v>
      </c>
      <c r="K140" t="s">
        <v>30</v>
      </c>
      <c r="L140">
        <v>1</v>
      </c>
      <c r="M140">
        <v>2</v>
      </c>
      <c r="N140">
        <v>0</v>
      </c>
      <c r="O140">
        <v>-1</v>
      </c>
      <c r="P140">
        <v>2</v>
      </c>
    </row>
    <row r="141" spans="1:16" x14ac:dyDescent="0.25">
      <c r="A141" t="s">
        <v>5</v>
      </c>
      <c r="B141" t="s">
        <v>31</v>
      </c>
      <c r="C141" s="24">
        <f>SUM(C135:C140)</f>
        <v>3682.2629636409019</v>
      </c>
      <c r="D141" s="24">
        <f t="shared" ref="D141:F141" si="21">SUM(D135:D140)</f>
        <v>2439.4409709626425</v>
      </c>
      <c r="E141" s="24">
        <f t="shared" si="21"/>
        <v>1579.6144629336882</v>
      </c>
      <c r="F141" s="24">
        <f t="shared" si="21"/>
        <v>-1.9952100840336136</v>
      </c>
      <c r="G141" s="24">
        <f>Sales_per_Division!W8</f>
        <v>7685</v>
      </c>
      <c r="H141" s="7">
        <f t="shared" si="0"/>
        <v>7699.3231874531984</v>
      </c>
      <c r="J141" s="1" t="s">
        <v>63</v>
      </c>
      <c r="K141" t="s">
        <v>30</v>
      </c>
      <c r="L141">
        <v>-312</v>
      </c>
      <c r="M141">
        <v>-207</v>
      </c>
      <c r="N141">
        <v>-96</v>
      </c>
      <c r="O141">
        <v>0</v>
      </c>
      <c r="P141">
        <v>-615</v>
      </c>
    </row>
    <row r="142" spans="1:16" x14ac:dyDescent="0.25">
      <c r="J142" s="1" t="s">
        <v>5</v>
      </c>
      <c r="K142" t="s">
        <v>30</v>
      </c>
      <c r="L142">
        <v>3884</v>
      </c>
      <c r="M142">
        <v>2322</v>
      </c>
      <c r="N142">
        <v>1605</v>
      </c>
      <c r="O142">
        <v>-1</v>
      </c>
      <c r="P142">
        <v>7810</v>
      </c>
    </row>
    <row r="143" spans="1:16" x14ac:dyDescent="0.25">
      <c r="J143" s="1" t="s">
        <v>71</v>
      </c>
      <c r="K143" t="s">
        <v>31</v>
      </c>
      <c r="L143">
        <v>1387</v>
      </c>
      <c r="M143">
        <v>853</v>
      </c>
      <c r="N143">
        <v>696</v>
      </c>
      <c r="O143">
        <v>0</v>
      </c>
      <c r="P143">
        <v>2936</v>
      </c>
    </row>
    <row r="144" spans="1:16" x14ac:dyDescent="0.25">
      <c r="J144" s="1" t="s">
        <v>72</v>
      </c>
      <c r="K144" t="s">
        <v>31</v>
      </c>
      <c r="L144">
        <v>769</v>
      </c>
      <c r="M144">
        <v>431</v>
      </c>
      <c r="N144">
        <v>351</v>
      </c>
      <c r="O144">
        <v>-1</v>
      </c>
      <c r="P144">
        <v>1550</v>
      </c>
    </row>
    <row r="145" spans="10:16" x14ac:dyDescent="0.25">
      <c r="J145" s="1" t="s">
        <v>2</v>
      </c>
      <c r="K145" t="s">
        <v>31</v>
      </c>
      <c r="L145">
        <v>823</v>
      </c>
      <c r="M145">
        <v>260</v>
      </c>
      <c r="N145">
        <v>353</v>
      </c>
      <c r="O145">
        <v>-1</v>
      </c>
      <c r="P145">
        <v>1435</v>
      </c>
    </row>
    <row r="146" spans="10:16" x14ac:dyDescent="0.25">
      <c r="J146" s="1" t="s">
        <v>73</v>
      </c>
      <c r="K146" t="s">
        <v>31</v>
      </c>
      <c r="L146">
        <v>296</v>
      </c>
      <c r="M146">
        <v>851</v>
      </c>
      <c r="N146">
        <v>143</v>
      </c>
      <c r="O146">
        <v>1</v>
      </c>
      <c r="P146">
        <v>1291</v>
      </c>
    </row>
    <row r="147" spans="10:16" x14ac:dyDescent="0.25">
      <c r="J147" s="1" t="s">
        <v>3</v>
      </c>
      <c r="K147" t="s">
        <v>31</v>
      </c>
      <c r="L147">
        <v>689</v>
      </c>
      <c r="M147">
        <v>259</v>
      </c>
      <c r="N147">
        <v>126</v>
      </c>
      <c r="O147">
        <v>-1</v>
      </c>
      <c r="P147">
        <v>1073</v>
      </c>
    </row>
    <row r="148" spans="10:16" x14ac:dyDescent="0.25">
      <c r="J148" s="1" t="s">
        <v>4</v>
      </c>
      <c r="K148" t="s">
        <v>31</v>
      </c>
      <c r="L148">
        <v>2</v>
      </c>
      <c r="M148">
        <v>-1</v>
      </c>
      <c r="N148">
        <v>0</v>
      </c>
      <c r="O148">
        <v>0</v>
      </c>
      <c r="P148">
        <v>1</v>
      </c>
    </row>
    <row r="149" spans="10:16" x14ac:dyDescent="0.25">
      <c r="J149" s="1" t="s">
        <v>63</v>
      </c>
      <c r="K149" t="s">
        <v>31</v>
      </c>
      <c r="L149">
        <v>-289</v>
      </c>
      <c r="M149">
        <v>-220</v>
      </c>
      <c r="N149">
        <v>-92</v>
      </c>
      <c r="O149">
        <v>0</v>
      </c>
      <c r="P149">
        <v>-601</v>
      </c>
    </row>
    <row r="150" spans="10:16" x14ac:dyDescent="0.25">
      <c r="J150" s="1" t="s">
        <v>5</v>
      </c>
      <c r="K150" t="s">
        <v>31</v>
      </c>
      <c r="L150">
        <v>3677</v>
      </c>
      <c r="M150">
        <v>2433</v>
      </c>
      <c r="N150">
        <v>1577</v>
      </c>
      <c r="O150">
        <v>-2</v>
      </c>
      <c r="P150">
        <v>7685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C7916-548C-483B-9415-47A6748F8021}">
  <dimension ref="A1:AM18"/>
  <sheetViews>
    <sheetView workbookViewId="0">
      <pane xSplit="1" topLeftCell="B1" activePane="topRight" state="frozen"/>
      <selection pane="topRight"/>
    </sheetView>
  </sheetViews>
  <sheetFormatPr baseColWidth="10" defaultRowHeight="15" x14ac:dyDescent="0.25"/>
  <cols>
    <col min="1" max="1" width="40" customWidth="1"/>
    <col min="2" max="15" width="14" bestFit="1" customWidth="1"/>
    <col min="16" max="16" width="15" bestFit="1" customWidth="1"/>
    <col min="17" max="39" width="14" bestFit="1" customWidth="1"/>
  </cols>
  <sheetData>
    <row r="1" spans="1:39" x14ac:dyDescent="0.25">
      <c r="A1" s="11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30</v>
      </c>
      <c r="W1" s="2" t="s">
        <v>31</v>
      </c>
      <c r="X1" s="2" t="s">
        <v>32</v>
      </c>
      <c r="Y1" s="2" t="s">
        <v>33</v>
      </c>
      <c r="Z1" s="2" t="s">
        <v>34</v>
      </c>
      <c r="AA1" s="2" t="s">
        <v>35</v>
      </c>
      <c r="AB1" s="2" t="s">
        <v>36</v>
      </c>
      <c r="AC1" s="2" t="s">
        <v>37</v>
      </c>
      <c r="AD1" s="2" t="s">
        <v>38</v>
      </c>
      <c r="AE1" s="2" t="s">
        <v>39</v>
      </c>
      <c r="AF1" s="2" t="s">
        <v>40</v>
      </c>
      <c r="AG1" s="2" t="s">
        <v>41</v>
      </c>
      <c r="AH1" s="2" t="s">
        <v>42</v>
      </c>
      <c r="AI1" s="2" t="s">
        <v>43</v>
      </c>
      <c r="AJ1" s="2" t="s">
        <v>44</v>
      </c>
      <c r="AK1" s="2" t="s">
        <v>45</v>
      </c>
      <c r="AL1" s="2" t="s">
        <v>46</v>
      </c>
      <c r="AM1" s="2" t="s">
        <v>47</v>
      </c>
    </row>
    <row r="2" spans="1:39" x14ac:dyDescent="0.25">
      <c r="A2" s="3" t="s">
        <v>1</v>
      </c>
      <c r="B2" s="15">
        <v>2924</v>
      </c>
      <c r="C2" s="16">
        <v>3051</v>
      </c>
      <c r="D2" s="17">
        <v>3064</v>
      </c>
      <c r="E2" s="17">
        <v>3235</v>
      </c>
      <c r="F2" s="18">
        <v>3254</v>
      </c>
      <c r="G2" s="19">
        <v>3327</v>
      </c>
      <c r="H2" s="17">
        <v>3140</v>
      </c>
      <c r="I2" s="17">
        <v>3024</v>
      </c>
      <c r="J2" s="20">
        <v>2668</v>
      </c>
      <c r="K2" s="19">
        <v>2935</v>
      </c>
      <c r="L2" s="17">
        <v>2741</v>
      </c>
      <c r="M2" s="17">
        <v>2849</v>
      </c>
      <c r="N2" s="20">
        <v>2961</v>
      </c>
      <c r="O2" s="17">
        <v>2963</v>
      </c>
      <c r="P2" s="17">
        <v>2664.7933949407688</v>
      </c>
      <c r="Q2" s="21">
        <v>3021</v>
      </c>
      <c r="R2" s="15">
        <v>3253</v>
      </c>
      <c r="S2" s="19">
        <v>3475.2066050592312</v>
      </c>
      <c r="T2" s="19">
        <v>3248.8705454868873</v>
      </c>
      <c r="U2" s="19">
        <v>3310.979443754286</v>
      </c>
      <c r="V2" s="19">
        <v>3209.924058172262</v>
      </c>
      <c r="W2" s="19">
        <v>3192.3017501025679</v>
      </c>
      <c r="X2" s="19">
        <v>2752.4137500681395</v>
      </c>
      <c r="Y2" s="19">
        <v>2901.654061242114</v>
      </c>
      <c r="Z2" s="19">
        <v>2933.3133707836159</v>
      </c>
      <c r="AA2" s="19">
        <v>2835.2121049717261</v>
      </c>
      <c r="AB2" s="19">
        <v>2703.4327039658474</v>
      </c>
      <c r="AC2" s="19">
        <v>2895.3894675384663</v>
      </c>
      <c r="AD2" s="19">
        <v>2929.7605595737782</v>
      </c>
      <c r="AE2" s="19">
        <v>2912.6510737309604</v>
      </c>
      <c r="AF2" s="19">
        <v>2901.575226294</v>
      </c>
      <c r="AG2" s="19">
        <v>3081.9804355747083</v>
      </c>
      <c r="AH2" s="19">
        <v>3116.0843434676708</v>
      </c>
      <c r="AI2" s="19">
        <v>3017.6439806513254</v>
      </c>
      <c r="AJ2" s="19">
        <v>2836.316071679611</v>
      </c>
      <c r="AK2" s="19">
        <v>3004.5893659751373</v>
      </c>
      <c r="AL2" s="19">
        <v>2971.7898769477069</v>
      </c>
      <c r="AM2" s="19">
        <v>2939.9752102274847</v>
      </c>
    </row>
    <row r="3" spans="1:39" x14ac:dyDescent="0.25">
      <c r="A3" s="3" t="s">
        <v>48</v>
      </c>
      <c r="B3" s="15">
        <v>2268</v>
      </c>
      <c r="C3" s="16">
        <v>2340</v>
      </c>
      <c r="D3" s="17">
        <v>2306</v>
      </c>
      <c r="E3" s="19">
        <v>2450</v>
      </c>
      <c r="F3" s="18">
        <v>2482</v>
      </c>
      <c r="G3" s="19">
        <v>2531</v>
      </c>
      <c r="H3" s="17">
        <v>2338</v>
      </c>
      <c r="I3" s="19">
        <v>2314</v>
      </c>
      <c r="J3" s="20">
        <v>1937</v>
      </c>
      <c r="K3" s="19">
        <v>2238</v>
      </c>
      <c r="L3" s="17">
        <v>2281</v>
      </c>
      <c r="M3" s="17">
        <v>2503</v>
      </c>
      <c r="N3" s="20">
        <v>2452</v>
      </c>
      <c r="O3" s="17">
        <v>2355</v>
      </c>
      <c r="P3" s="17">
        <v>2383.1000000000004</v>
      </c>
      <c r="Q3" s="21">
        <v>2619</v>
      </c>
      <c r="R3" s="15">
        <v>2527</v>
      </c>
      <c r="S3" s="19">
        <v>2574.9</v>
      </c>
      <c r="T3" s="19">
        <v>2480.7299999999996</v>
      </c>
      <c r="U3" s="19">
        <v>2572.79</v>
      </c>
      <c r="V3" s="19">
        <v>2394.1799999999998</v>
      </c>
      <c r="W3" s="19">
        <v>2384.5099999999998</v>
      </c>
      <c r="X3" s="19">
        <v>2108.96</v>
      </c>
      <c r="Y3" s="19">
        <v>2246.0500000000002</v>
      </c>
      <c r="Z3" s="19">
        <v>2198.4100000000003</v>
      </c>
      <c r="AA3" s="19">
        <v>2121.2000000000003</v>
      </c>
      <c r="AB3" s="19">
        <v>2094.2000000000003</v>
      </c>
      <c r="AC3" s="19">
        <v>2302.5700000000002</v>
      </c>
      <c r="AD3" s="19">
        <v>2267.5200000000004</v>
      </c>
      <c r="AE3" s="19">
        <v>2259</v>
      </c>
      <c r="AF3" s="19">
        <v>2284.71</v>
      </c>
      <c r="AG3" s="19">
        <v>2450.36</v>
      </c>
      <c r="AH3" s="19">
        <v>2423.86</v>
      </c>
      <c r="AI3" s="19">
        <v>2303.5100000000002</v>
      </c>
      <c r="AJ3" s="19">
        <v>2231.19</v>
      </c>
      <c r="AK3" s="19">
        <v>2383.13</v>
      </c>
      <c r="AL3" s="19">
        <v>2303.04</v>
      </c>
      <c r="AM3" s="19">
        <v>2245.85</v>
      </c>
    </row>
    <row r="4" spans="1:39" x14ac:dyDescent="0.25">
      <c r="A4" s="1" t="s">
        <v>2</v>
      </c>
      <c r="B4" s="15">
        <v>2179</v>
      </c>
      <c r="C4" s="16">
        <v>2124</v>
      </c>
      <c r="D4" s="17">
        <v>2275</v>
      </c>
      <c r="E4" s="19">
        <v>2249</v>
      </c>
      <c r="F4" s="18">
        <v>2278</v>
      </c>
      <c r="G4" s="19">
        <v>2248</v>
      </c>
      <c r="H4" s="17">
        <v>2257</v>
      </c>
      <c r="I4" s="19">
        <v>2160</v>
      </c>
      <c r="J4" s="20">
        <v>1825</v>
      </c>
      <c r="K4" s="19">
        <v>2103</v>
      </c>
      <c r="L4" s="17">
        <v>2141</v>
      </c>
      <c r="M4" s="17">
        <v>1721</v>
      </c>
      <c r="N4" s="20">
        <v>1831</v>
      </c>
      <c r="O4" s="17">
        <v>1738</v>
      </c>
      <c r="P4" s="17">
        <v>1683.949129395698</v>
      </c>
      <c r="Q4" s="21">
        <v>1643</v>
      </c>
      <c r="R4" s="15">
        <v>1730</v>
      </c>
      <c r="S4" s="19">
        <v>1764.0508706043017</v>
      </c>
      <c r="T4" s="19">
        <v>1700.3379993171732</v>
      </c>
      <c r="U4" s="19">
        <v>1705.867872994196</v>
      </c>
      <c r="V4" s="19">
        <v>1664.2420621372482</v>
      </c>
      <c r="W4" s="19">
        <v>1649.5114373506317</v>
      </c>
      <c r="X4" s="19">
        <v>1563.409696142028</v>
      </c>
      <c r="Y4" s="19">
        <v>1549.6473199044042</v>
      </c>
      <c r="Z4" s="19">
        <v>1596.2273813588256</v>
      </c>
      <c r="AA4" s="19">
        <v>1571.2089450324343</v>
      </c>
      <c r="AB4" s="19">
        <v>1560.0030727210651</v>
      </c>
      <c r="AC4" s="19">
        <v>1532.8207579378627</v>
      </c>
      <c r="AD4" s="19">
        <v>1556.3004438374871</v>
      </c>
      <c r="AE4" s="19">
        <v>1523.0539433253671</v>
      </c>
      <c r="AF4" s="19">
        <v>1583.5698190508706</v>
      </c>
      <c r="AG4" s="19">
        <v>1592.5291908501194</v>
      </c>
      <c r="AH4" s="19">
        <v>1621.6708774325709</v>
      </c>
      <c r="AI4" s="19">
        <v>1576.8214407647661</v>
      </c>
      <c r="AJ4" s="19">
        <v>1542.8251963127348</v>
      </c>
      <c r="AK4" s="19">
        <v>1524.6841925571866</v>
      </c>
      <c r="AL4" s="19">
        <v>1532.0266302492319</v>
      </c>
      <c r="AM4" s="19">
        <v>1507.7572550358484</v>
      </c>
    </row>
    <row r="5" spans="1:39" x14ac:dyDescent="0.25">
      <c r="A5" s="1" t="s">
        <v>3</v>
      </c>
      <c r="B5" s="15">
        <v>1330</v>
      </c>
      <c r="C5" s="16">
        <v>1313</v>
      </c>
      <c r="D5" s="17">
        <v>1476</v>
      </c>
      <c r="E5" s="19">
        <v>1525</v>
      </c>
      <c r="F5" s="18">
        <v>1482</v>
      </c>
      <c r="G5" s="19">
        <v>1373</v>
      </c>
      <c r="H5" s="17">
        <v>1425</v>
      </c>
      <c r="I5" s="19">
        <v>1417</v>
      </c>
      <c r="J5" s="20">
        <v>1238</v>
      </c>
      <c r="K5" s="19">
        <v>1256</v>
      </c>
      <c r="L5" s="17">
        <v>1324</v>
      </c>
      <c r="M5" s="17">
        <v>1324</v>
      </c>
      <c r="N5" s="20">
        <v>1303</v>
      </c>
      <c r="O5" s="17">
        <v>1200</v>
      </c>
      <c r="P5" s="17">
        <v>1371</v>
      </c>
      <c r="Q5" s="21">
        <v>1302</v>
      </c>
      <c r="R5" s="15">
        <v>1309</v>
      </c>
      <c r="S5" s="19">
        <v>1145</v>
      </c>
      <c r="T5" s="19">
        <v>1210</v>
      </c>
      <c r="U5" s="19">
        <v>1279</v>
      </c>
      <c r="V5" s="19">
        <v>1169</v>
      </c>
      <c r="W5" s="19">
        <v>1073</v>
      </c>
      <c r="X5" s="19">
        <v>1094</v>
      </c>
      <c r="Y5" s="19">
        <v>1209</v>
      </c>
      <c r="Z5" s="19">
        <v>1130</v>
      </c>
      <c r="AA5" s="19">
        <v>1049</v>
      </c>
      <c r="AB5" s="19">
        <v>1101</v>
      </c>
      <c r="AC5" s="19">
        <v>1162</v>
      </c>
      <c r="AD5" s="19">
        <v>1111</v>
      </c>
      <c r="AE5" s="19">
        <v>1048</v>
      </c>
      <c r="AF5" s="19">
        <v>1128</v>
      </c>
      <c r="AG5" s="19">
        <v>1177</v>
      </c>
      <c r="AH5" s="19">
        <v>1139</v>
      </c>
      <c r="AI5" s="19">
        <v>1079</v>
      </c>
      <c r="AJ5" s="19">
        <v>1103</v>
      </c>
      <c r="AK5" s="19">
        <v>1153</v>
      </c>
      <c r="AL5" s="19">
        <v>1098</v>
      </c>
      <c r="AM5" s="19">
        <v>1081</v>
      </c>
    </row>
    <row r="6" spans="1:39" x14ac:dyDescent="0.25">
      <c r="A6" s="1" t="s">
        <v>4</v>
      </c>
      <c r="B6" s="15">
        <v>1</v>
      </c>
      <c r="C6" s="16">
        <v>1</v>
      </c>
      <c r="D6" s="17">
        <v>0</v>
      </c>
      <c r="E6" s="19">
        <v>3</v>
      </c>
      <c r="F6" s="18">
        <v>1</v>
      </c>
      <c r="G6" s="19">
        <v>-2</v>
      </c>
      <c r="H6" s="17">
        <v>0</v>
      </c>
      <c r="I6" s="19">
        <v>0</v>
      </c>
      <c r="J6" s="18">
        <v>-2</v>
      </c>
      <c r="K6" s="19">
        <v>1</v>
      </c>
      <c r="L6" s="17">
        <v>12</v>
      </c>
      <c r="M6" s="19">
        <v>28</v>
      </c>
      <c r="N6" s="18">
        <v>48</v>
      </c>
      <c r="O6" s="17">
        <v>22</v>
      </c>
      <c r="P6" s="17">
        <v>3</v>
      </c>
      <c r="Q6" s="16">
        <v>35</v>
      </c>
      <c r="R6" s="15">
        <v>12</v>
      </c>
      <c r="S6" s="19">
        <v>0</v>
      </c>
      <c r="T6" s="19">
        <v>-3</v>
      </c>
      <c r="U6" s="19">
        <v>3</v>
      </c>
      <c r="V6" s="19">
        <v>2</v>
      </c>
      <c r="W6" s="19">
        <v>1</v>
      </c>
      <c r="X6" s="19">
        <v>2</v>
      </c>
      <c r="Y6" s="19">
        <v>2</v>
      </c>
      <c r="Z6" s="19">
        <v>4</v>
      </c>
      <c r="AA6" s="19">
        <v>1</v>
      </c>
      <c r="AB6" s="19">
        <v>2</v>
      </c>
      <c r="AC6" s="19">
        <v>1</v>
      </c>
      <c r="AD6" s="19">
        <v>-4</v>
      </c>
      <c r="AE6" s="19">
        <v>2</v>
      </c>
      <c r="AF6" s="19">
        <v>0</v>
      </c>
      <c r="AG6" s="19">
        <v>3</v>
      </c>
      <c r="AH6" s="19">
        <v>-1</v>
      </c>
      <c r="AI6" s="19">
        <v>3</v>
      </c>
      <c r="AJ6" s="19">
        <v>2</v>
      </c>
      <c r="AK6" s="19">
        <v>3</v>
      </c>
      <c r="AL6" s="19">
        <v>1</v>
      </c>
      <c r="AM6" s="19">
        <v>2</v>
      </c>
    </row>
    <row r="7" spans="1:39" x14ac:dyDescent="0.25">
      <c r="A7" s="5" t="s">
        <v>63</v>
      </c>
      <c r="B7" s="18">
        <v>0</v>
      </c>
      <c r="C7" s="19">
        <v>0</v>
      </c>
      <c r="D7" s="17">
        <v>-509</v>
      </c>
      <c r="E7" s="19">
        <v>-520</v>
      </c>
      <c r="F7" s="18">
        <v>-547</v>
      </c>
      <c r="G7" s="19">
        <v>-626</v>
      </c>
      <c r="H7" s="17">
        <v>-577</v>
      </c>
      <c r="I7" s="19">
        <v>-565</v>
      </c>
      <c r="J7" s="18">
        <v>-490</v>
      </c>
      <c r="K7" s="19">
        <v>-458</v>
      </c>
      <c r="L7" s="17">
        <v>-388</v>
      </c>
      <c r="M7" s="19">
        <v>-434</v>
      </c>
      <c r="N7" s="18">
        <v>-424</v>
      </c>
      <c r="O7" s="17">
        <v>-415</v>
      </c>
      <c r="P7" s="17">
        <v>-160.84252433646725</v>
      </c>
      <c r="Q7" s="16">
        <v>-468</v>
      </c>
      <c r="R7" s="15">
        <v>-441</v>
      </c>
      <c r="S7" s="19">
        <v>-681.15747566353275</v>
      </c>
      <c r="T7" s="19">
        <v>-646.93854480405935</v>
      </c>
      <c r="U7" s="19">
        <v>-699.63731674848168</v>
      </c>
      <c r="V7" s="19">
        <v>-629.3461203095103</v>
      </c>
      <c r="W7" s="19">
        <v>-615.32318745319935</v>
      </c>
      <c r="X7" s="19">
        <v>-191.78344621016822</v>
      </c>
      <c r="Y7" s="19">
        <v>-199.35138114651818</v>
      </c>
      <c r="Z7" s="19">
        <v>-199.95075214244207</v>
      </c>
      <c r="AA7" s="19">
        <v>-168.62105000416159</v>
      </c>
      <c r="AB7" s="19">
        <v>-162.63577668691323</v>
      </c>
      <c r="AC7" s="19">
        <v>-181.78022547633009</v>
      </c>
      <c r="AD7" s="19">
        <v>-174.58100341126647</v>
      </c>
      <c r="AE7" s="19">
        <v>-166.70501705632705</v>
      </c>
      <c r="AF7" s="19">
        <v>-178.85504534486972</v>
      </c>
      <c r="AG7" s="19">
        <v>-167.86962642482831</v>
      </c>
      <c r="AH7" s="19">
        <v>-165.61522090024118</v>
      </c>
      <c r="AI7" s="19">
        <v>-148.97542141609119</v>
      </c>
      <c r="AJ7" s="19">
        <v>-146.3312679923456</v>
      </c>
      <c r="AK7" s="19">
        <v>-152.40355853232359</v>
      </c>
      <c r="AL7" s="19">
        <v>-153.85650719693876</v>
      </c>
      <c r="AM7" s="19">
        <v>-142.58246526333278</v>
      </c>
    </row>
    <row r="8" spans="1:39" x14ac:dyDescent="0.25">
      <c r="A8" s="27" t="s">
        <v>5</v>
      </c>
      <c r="B8" s="15">
        <v>8702</v>
      </c>
      <c r="C8" s="16">
        <v>8829</v>
      </c>
      <c r="D8" s="17">
        <v>8612</v>
      </c>
      <c r="E8" s="19">
        <v>8942</v>
      </c>
      <c r="F8" s="18">
        <v>8950</v>
      </c>
      <c r="G8" s="19">
        <v>8851</v>
      </c>
      <c r="H8" s="17">
        <v>8583</v>
      </c>
      <c r="I8" s="19">
        <v>8350</v>
      </c>
      <c r="J8" s="18">
        <v>7176</v>
      </c>
      <c r="K8" s="19">
        <v>8075</v>
      </c>
      <c r="L8" s="17">
        <v>8111</v>
      </c>
      <c r="M8" s="17">
        <v>7991</v>
      </c>
      <c r="N8" s="18">
        <v>8171</v>
      </c>
      <c r="O8" s="19">
        <v>7863</v>
      </c>
      <c r="P8" s="17">
        <v>7945</v>
      </c>
      <c r="Q8" s="21">
        <v>8152</v>
      </c>
      <c r="R8" s="15">
        <v>8390</v>
      </c>
      <c r="S8" s="19">
        <v>8278</v>
      </c>
      <c r="T8" s="19">
        <v>7990</v>
      </c>
      <c r="U8" s="19">
        <v>8172</v>
      </c>
      <c r="V8" s="19">
        <v>7810</v>
      </c>
      <c r="W8" s="19">
        <v>7685</v>
      </c>
      <c r="X8" s="19">
        <v>7329</v>
      </c>
      <c r="Y8" s="19">
        <v>7709</v>
      </c>
      <c r="Z8" s="19">
        <v>7662</v>
      </c>
      <c r="AA8" s="19">
        <v>7409</v>
      </c>
      <c r="AB8" s="19">
        <v>7298</v>
      </c>
      <c r="AC8" s="19">
        <v>7712</v>
      </c>
      <c r="AD8" s="19">
        <v>7686</v>
      </c>
      <c r="AE8" s="19">
        <v>7578</v>
      </c>
      <c r="AF8" s="19">
        <v>7719</v>
      </c>
      <c r="AG8" s="19">
        <v>8137</v>
      </c>
      <c r="AH8" s="19">
        <v>8134</v>
      </c>
      <c r="AI8" s="19">
        <v>7831</v>
      </c>
      <c r="AJ8" s="19">
        <v>7569</v>
      </c>
      <c r="AK8" s="19">
        <v>7916</v>
      </c>
      <c r="AL8" s="19">
        <v>7752</v>
      </c>
      <c r="AM8" s="19">
        <v>7634</v>
      </c>
    </row>
    <row r="9" spans="1:39" x14ac:dyDescent="0.25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</row>
    <row r="18" spans="2:39" x14ac:dyDescent="0.25">
      <c r="B18" s="21"/>
      <c r="C18" s="21"/>
      <c r="D18" s="21"/>
      <c r="E18" s="21"/>
      <c r="F18" s="21"/>
      <c r="G18" s="21"/>
      <c r="H18" s="17"/>
      <c r="I18" s="17"/>
      <c r="J18" s="18"/>
      <c r="K18" s="19"/>
      <c r="L18" s="17"/>
      <c r="M18" s="17"/>
      <c r="N18" s="18"/>
      <c r="O18" s="19"/>
      <c r="P18" s="17"/>
      <c r="Q18" s="17"/>
      <c r="R18" s="18"/>
      <c r="S18" s="19"/>
      <c r="T18" s="17"/>
      <c r="U18" s="17"/>
      <c r="V18" s="18"/>
      <c r="W18" s="19"/>
      <c r="X18" s="17"/>
      <c r="Y18" s="17"/>
      <c r="Z18" s="18"/>
      <c r="AA18" s="19"/>
      <c r="AB18" s="17"/>
      <c r="AC18" s="17"/>
      <c r="AD18" s="18"/>
      <c r="AE18" s="19"/>
      <c r="AF18" s="17"/>
      <c r="AG18" s="17"/>
      <c r="AH18" s="18"/>
      <c r="AI18" s="19"/>
      <c r="AJ18" s="17"/>
      <c r="AK18" s="17"/>
      <c r="AL18" s="18"/>
      <c r="AM18" s="1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9A296-07F7-4D73-ACA2-F9F3A26627BD}">
  <dimension ref="A1:AM8"/>
  <sheetViews>
    <sheetView workbookViewId="0">
      <pane xSplit="1" topLeftCell="B1" activePane="topRight" state="frozen"/>
      <selection pane="topRight" activeCell="A2" sqref="A2"/>
    </sheetView>
  </sheetViews>
  <sheetFormatPr baseColWidth="10" defaultRowHeight="15" x14ac:dyDescent="0.25"/>
  <cols>
    <col min="1" max="1" width="48" bestFit="1" customWidth="1"/>
    <col min="2" max="2" width="12.28515625" bestFit="1" customWidth="1"/>
    <col min="3" max="18" width="12.7109375" bestFit="1" customWidth="1"/>
    <col min="19" max="19" width="13.42578125" bestFit="1" customWidth="1"/>
    <col min="20" max="39" width="12.7109375" bestFit="1" customWidth="1"/>
  </cols>
  <sheetData>
    <row r="1" spans="1:39" x14ac:dyDescent="0.25">
      <c r="A1" s="11" t="s">
        <v>146</v>
      </c>
      <c r="B1" s="12" t="s">
        <v>6</v>
      </c>
      <c r="C1" s="12" t="s">
        <v>7</v>
      </c>
      <c r="D1" s="12" t="s">
        <v>8</v>
      </c>
      <c r="E1" s="12" t="s">
        <v>9</v>
      </c>
      <c r="F1" s="12" t="s">
        <v>14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12" t="s">
        <v>27</v>
      </c>
      <c r="T1" s="12" t="s">
        <v>28</v>
      </c>
      <c r="U1" s="12" t="s">
        <v>29</v>
      </c>
      <c r="V1" s="12" t="s">
        <v>30</v>
      </c>
      <c r="W1" s="12" t="s">
        <v>31</v>
      </c>
      <c r="X1" s="12" t="s">
        <v>32</v>
      </c>
      <c r="Y1" s="12" t="s">
        <v>33</v>
      </c>
      <c r="Z1" s="12" t="s">
        <v>34</v>
      </c>
      <c r="AA1" s="12" t="s">
        <v>35</v>
      </c>
      <c r="AB1" s="12" t="s">
        <v>36</v>
      </c>
      <c r="AC1" s="12" t="s">
        <v>37</v>
      </c>
      <c r="AD1" s="12" t="s">
        <v>38</v>
      </c>
      <c r="AE1" s="12" t="s">
        <v>39</v>
      </c>
      <c r="AF1" s="12" t="s">
        <v>40</v>
      </c>
      <c r="AG1" s="12" t="s">
        <v>41</v>
      </c>
      <c r="AH1" s="12" t="s">
        <v>42</v>
      </c>
      <c r="AI1" s="12" t="s">
        <v>43</v>
      </c>
      <c r="AJ1" s="12" t="s">
        <v>44</v>
      </c>
      <c r="AK1" s="12" t="s">
        <v>45</v>
      </c>
      <c r="AL1" s="12" t="s">
        <v>46</v>
      </c>
      <c r="AM1" s="12" t="s">
        <v>47</v>
      </c>
    </row>
    <row r="2" spans="1:39" x14ac:dyDescent="0.25">
      <c r="A2" s="3" t="s">
        <v>1</v>
      </c>
      <c r="B2" s="15">
        <v>-707</v>
      </c>
      <c r="C2" s="16">
        <v>636</v>
      </c>
      <c r="D2" s="17">
        <v>543</v>
      </c>
      <c r="E2" s="17">
        <v>620</v>
      </c>
      <c r="F2" s="19">
        <v>718</v>
      </c>
      <c r="G2" s="19">
        <v>811</v>
      </c>
      <c r="H2" s="17">
        <v>693</v>
      </c>
      <c r="I2" s="17">
        <v>774</v>
      </c>
      <c r="J2" s="20">
        <v>623</v>
      </c>
      <c r="K2" s="19">
        <v>694</v>
      </c>
      <c r="L2" s="17">
        <v>593</v>
      </c>
      <c r="M2" s="17">
        <v>765</v>
      </c>
      <c r="N2" s="20">
        <v>653</v>
      </c>
      <c r="O2" s="17">
        <v>637</v>
      </c>
      <c r="P2" s="17">
        <v>723.1848504236109</v>
      </c>
      <c r="Q2" s="17">
        <v>806.13542724020317</v>
      </c>
      <c r="R2" s="17">
        <v>996.08317147275443</v>
      </c>
      <c r="S2" s="17">
        <v>844.82220794087516</v>
      </c>
      <c r="T2" s="17">
        <v>720.40479241201433</v>
      </c>
      <c r="U2" s="17">
        <v>801.36464850194102</v>
      </c>
      <c r="V2" s="17">
        <v>968.94188827459971</v>
      </c>
      <c r="W2" s="17">
        <v>745.05178352665757</v>
      </c>
      <c r="X2" s="17">
        <v>610.8710312120752</v>
      </c>
      <c r="Y2" s="17">
        <v>688.11294473405621</v>
      </c>
      <c r="Z2" s="17">
        <v>709.09841687443168</v>
      </c>
      <c r="AA2" s="17">
        <v>665.02724823626966</v>
      </c>
      <c r="AB2" s="17">
        <v>532.67000754552419</v>
      </c>
      <c r="AC2" s="17">
        <v>664.45999466362173</v>
      </c>
      <c r="AD2" s="17">
        <v>689.81515416682214</v>
      </c>
      <c r="AE2" s="17">
        <v>666.54216599579411</v>
      </c>
      <c r="AF2" s="17">
        <v>591.16488003190352</v>
      </c>
      <c r="AG2" s="17">
        <v>697.10022751333383</v>
      </c>
      <c r="AH2" s="17">
        <v>693.1843910934125</v>
      </c>
      <c r="AI2" s="17">
        <v>654.697966438197</v>
      </c>
      <c r="AJ2" s="17">
        <v>573.06779983417073</v>
      </c>
      <c r="AK2" s="17">
        <v>641.22126977113828</v>
      </c>
      <c r="AL2" s="17">
        <v>653.70021861936993</v>
      </c>
      <c r="AM2" s="17">
        <v>629.24079689916266</v>
      </c>
    </row>
    <row r="3" spans="1:39" x14ac:dyDescent="0.25">
      <c r="A3" s="3" t="s">
        <v>48</v>
      </c>
      <c r="B3" s="15">
        <v>476</v>
      </c>
      <c r="C3" s="16">
        <v>496</v>
      </c>
      <c r="D3" s="17">
        <v>406</v>
      </c>
      <c r="E3" s="19">
        <v>465</v>
      </c>
      <c r="F3" s="19">
        <v>546</v>
      </c>
      <c r="G3" s="19">
        <v>591</v>
      </c>
      <c r="H3" s="17">
        <v>476</v>
      </c>
      <c r="I3" s="19">
        <v>514</v>
      </c>
      <c r="J3" s="20">
        <v>360</v>
      </c>
      <c r="K3" s="19">
        <v>464</v>
      </c>
      <c r="L3" s="17">
        <v>476</v>
      </c>
      <c r="M3" s="17">
        <v>631</v>
      </c>
      <c r="N3" s="20">
        <v>592</v>
      </c>
      <c r="O3" s="17">
        <v>522</v>
      </c>
      <c r="P3" s="17">
        <v>602.6400000000001</v>
      </c>
      <c r="Q3" s="17">
        <v>685.17000000000007</v>
      </c>
      <c r="R3" s="17">
        <v>1026.17</v>
      </c>
      <c r="S3" s="17">
        <v>637.6</v>
      </c>
      <c r="T3" s="17">
        <v>591.57999999999993</v>
      </c>
      <c r="U3" s="17">
        <v>666.46</v>
      </c>
      <c r="V3" s="17">
        <v>736.69</v>
      </c>
      <c r="W3" s="17">
        <v>534.08000000000004</v>
      </c>
      <c r="X3" s="17">
        <v>500.82000000000005</v>
      </c>
      <c r="Y3" s="17">
        <v>538.84</v>
      </c>
      <c r="Z3" s="17">
        <v>503.77</v>
      </c>
      <c r="AA3" s="17">
        <v>462.6</v>
      </c>
      <c r="AB3" s="17">
        <v>392.98</v>
      </c>
      <c r="AC3" s="17">
        <v>542.55999999999995</v>
      </c>
      <c r="AD3" s="17">
        <v>518.78</v>
      </c>
      <c r="AE3" s="17">
        <v>508.92999999999995</v>
      </c>
      <c r="AF3" s="17">
        <v>452.25</v>
      </c>
      <c r="AG3" s="17">
        <v>555.22</v>
      </c>
      <c r="AH3" s="17">
        <v>527.85</v>
      </c>
      <c r="AI3" s="17">
        <v>465.95000000000005</v>
      </c>
      <c r="AJ3" s="17">
        <v>418.05</v>
      </c>
      <c r="AK3" s="17">
        <v>504.08000000000004</v>
      </c>
      <c r="AL3" s="17">
        <v>473.05</v>
      </c>
      <c r="AM3" s="17">
        <v>438</v>
      </c>
    </row>
    <row r="4" spans="1:39" x14ac:dyDescent="0.25">
      <c r="A4" s="1" t="s">
        <v>2</v>
      </c>
      <c r="B4" s="15">
        <v>494</v>
      </c>
      <c r="C4" s="16">
        <v>448</v>
      </c>
      <c r="D4" s="17">
        <v>536</v>
      </c>
      <c r="E4" s="19">
        <v>529</v>
      </c>
      <c r="F4" s="19">
        <v>576</v>
      </c>
      <c r="G4" s="19">
        <v>509</v>
      </c>
      <c r="H4" s="17">
        <v>544</v>
      </c>
      <c r="I4" s="19">
        <v>493</v>
      </c>
      <c r="J4" s="20">
        <v>301</v>
      </c>
      <c r="K4" s="19">
        <v>452</v>
      </c>
      <c r="L4" s="17">
        <v>457</v>
      </c>
      <c r="M4" s="17">
        <v>459</v>
      </c>
      <c r="N4" s="20">
        <v>483</v>
      </c>
      <c r="O4" s="17">
        <v>464</v>
      </c>
      <c r="P4" s="17">
        <v>503.81017412086038</v>
      </c>
      <c r="Q4" s="17">
        <v>494.73267326732673</v>
      </c>
      <c r="R4" s="17">
        <v>487.89723455104132</v>
      </c>
      <c r="S4" s="17">
        <v>510.16660976442472</v>
      </c>
      <c r="T4" s="17">
        <v>502.37623762376239</v>
      </c>
      <c r="U4" s="17">
        <v>516.097985660635</v>
      </c>
      <c r="V4" s="17">
        <v>449.49948787982248</v>
      </c>
      <c r="W4" s="17">
        <v>477.9518607033117</v>
      </c>
      <c r="X4" s="17">
        <v>450.40355069989755</v>
      </c>
      <c r="Y4" s="17">
        <v>472.17992488904065</v>
      </c>
      <c r="Z4" s="17">
        <v>504.93342437692047</v>
      </c>
      <c r="AA4" s="17">
        <v>500.07954933424378</v>
      </c>
      <c r="AB4" s="17">
        <v>478.6316148856265</v>
      </c>
      <c r="AC4" s="17">
        <v>474.23011266643903</v>
      </c>
      <c r="AD4" s="17">
        <v>484.42198702628883</v>
      </c>
      <c r="AE4" s="17">
        <v>451.54523728234892</v>
      </c>
      <c r="AF4" s="17">
        <v>470.30761351997268</v>
      </c>
      <c r="AG4" s="17">
        <v>477.00648685558212</v>
      </c>
      <c r="AH4" s="17">
        <v>479.07954933424378</v>
      </c>
      <c r="AI4" s="17">
        <v>472.15261181290543</v>
      </c>
      <c r="AJ4" s="17">
        <v>465.47661317855921</v>
      </c>
      <c r="AK4" s="17">
        <v>467.71867531580745</v>
      </c>
      <c r="AL4" s="17">
        <v>461.05667463298056</v>
      </c>
      <c r="AM4" s="17">
        <v>446.30317514510074</v>
      </c>
    </row>
    <row r="5" spans="1:39" x14ac:dyDescent="0.25">
      <c r="A5" s="1" t="s">
        <v>3</v>
      </c>
      <c r="B5" s="15">
        <v>247</v>
      </c>
      <c r="C5" s="16">
        <v>224</v>
      </c>
      <c r="D5" s="17">
        <v>316</v>
      </c>
      <c r="E5" s="19">
        <v>332</v>
      </c>
      <c r="F5" s="19">
        <v>311</v>
      </c>
      <c r="G5" s="19">
        <v>289</v>
      </c>
      <c r="H5" s="17">
        <v>317</v>
      </c>
      <c r="I5" s="19">
        <v>343</v>
      </c>
      <c r="J5" s="20">
        <v>278</v>
      </c>
      <c r="K5" s="19">
        <v>265</v>
      </c>
      <c r="L5" s="17">
        <v>294</v>
      </c>
      <c r="M5" s="17">
        <v>308</v>
      </c>
      <c r="N5" s="20">
        <v>268</v>
      </c>
      <c r="O5" s="17">
        <v>235</v>
      </c>
      <c r="P5" s="17">
        <v>257</v>
      </c>
      <c r="Q5" s="17">
        <v>291</v>
      </c>
      <c r="R5" s="17">
        <v>261</v>
      </c>
      <c r="S5" s="17">
        <v>220</v>
      </c>
      <c r="T5" s="17">
        <v>272</v>
      </c>
      <c r="U5" s="17">
        <v>311</v>
      </c>
      <c r="V5" s="17">
        <v>198</v>
      </c>
      <c r="W5" s="17">
        <v>223</v>
      </c>
      <c r="X5" s="17">
        <v>228</v>
      </c>
      <c r="Y5" s="17">
        <v>317</v>
      </c>
      <c r="Z5" s="17">
        <v>281</v>
      </c>
      <c r="AA5" s="17">
        <v>238</v>
      </c>
      <c r="AB5" s="17">
        <v>254</v>
      </c>
      <c r="AC5" s="17">
        <v>293</v>
      </c>
      <c r="AD5" s="17">
        <v>259</v>
      </c>
      <c r="AE5" s="17">
        <v>240</v>
      </c>
      <c r="AF5" s="17">
        <v>254</v>
      </c>
      <c r="AG5" s="17">
        <v>272</v>
      </c>
      <c r="AH5" s="17">
        <v>241</v>
      </c>
      <c r="AI5" s="17">
        <v>228</v>
      </c>
      <c r="AJ5" s="17">
        <v>226</v>
      </c>
      <c r="AK5" s="17">
        <v>247</v>
      </c>
      <c r="AL5" s="17">
        <v>235</v>
      </c>
      <c r="AM5" s="17">
        <v>237</v>
      </c>
    </row>
    <row r="6" spans="1:39" x14ac:dyDescent="0.25">
      <c r="A6" s="1" t="s">
        <v>4</v>
      </c>
      <c r="B6" s="15">
        <v>-400</v>
      </c>
      <c r="C6" s="16">
        <v>-163</v>
      </c>
      <c r="D6" s="17">
        <v>-60</v>
      </c>
      <c r="E6" s="19">
        <v>-27</v>
      </c>
      <c r="F6" s="19">
        <v>-42</v>
      </c>
      <c r="G6" s="19">
        <v>-47</v>
      </c>
      <c r="H6" s="17">
        <v>-34</v>
      </c>
      <c r="I6" s="19">
        <v>-73</v>
      </c>
      <c r="J6" s="18">
        <v>297</v>
      </c>
      <c r="K6" s="19">
        <v>-99</v>
      </c>
      <c r="L6" s="17">
        <v>-385</v>
      </c>
      <c r="M6" s="19">
        <v>-40</v>
      </c>
      <c r="N6" s="18">
        <v>-193</v>
      </c>
      <c r="O6" s="17">
        <v>-625</v>
      </c>
      <c r="P6" s="17">
        <v>-136</v>
      </c>
      <c r="Q6" s="17">
        <v>-77</v>
      </c>
      <c r="R6" s="17">
        <v>-206</v>
      </c>
      <c r="S6" s="17">
        <v>-1037</v>
      </c>
      <c r="T6" s="17">
        <v>-139</v>
      </c>
      <c r="U6" s="17">
        <v>-112</v>
      </c>
      <c r="V6" s="17">
        <v>-51</v>
      </c>
      <c r="W6" s="17">
        <v>-93</v>
      </c>
      <c r="X6" s="17">
        <v>-82</v>
      </c>
      <c r="Y6" s="17">
        <v>-69</v>
      </c>
      <c r="Z6" s="17">
        <v>-88</v>
      </c>
      <c r="AA6" s="17">
        <v>-41</v>
      </c>
      <c r="AB6" s="17">
        <v>-123</v>
      </c>
      <c r="AC6" s="17">
        <v>-58</v>
      </c>
      <c r="AD6" s="17">
        <v>-74</v>
      </c>
      <c r="AE6" s="17">
        <v>-100</v>
      </c>
      <c r="AF6" s="17">
        <v>-67</v>
      </c>
      <c r="AG6" s="17">
        <v>-63</v>
      </c>
      <c r="AH6" s="17">
        <v>-49</v>
      </c>
      <c r="AI6" s="17">
        <v>-72</v>
      </c>
      <c r="AJ6" s="17">
        <v>-72</v>
      </c>
      <c r="AK6" s="17">
        <v>-88</v>
      </c>
      <c r="AL6" s="17">
        <v>-87</v>
      </c>
      <c r="AM6" s="17">
        <v>-74</v>
      </c>
    </row>
    <row r="7" spans="1:39" x14ac:dyDescent="0.25">
      <c r="A7" s="5" t="s">
        <v>63</v>
      </c>
      <c r="B7" s="18">
        <v>0</v>
      </c>
      <c r="C7" s="19">
        <v>0</v>
      </c>
      <c r="D7" s="17">
        <v>-125</v>
      </c>
      <c r="E7" s="19">
        <v>-131</v>
      </c>
      <c r="F7" s="19">
        <v>-138</v>
      </c>
      <c r="G7" s="19">
        <v>-159</v>
      </c>
      <c r="H7" s="17">
        <v>-147</v>
      </c>
      <c r="I7" s="19">
        <v>-142</v>
      </c>
      <c r="J7" s="18">
        <v>-119</v>
      </c>
      <c r="K7" s="19">
        <v>-113</v>
      </c>
      <c r="L7" s="17">
        <v>-110</v>
      </c>
      <c r="M7" s="19">
        <v>-112</v>
      </c>
      <c r="N7" s="18">
        <v>-101</v>
      </c>
      <c r="O7" s="17">
        <v>-97</v>
      </c>
      <c r="P7" s="17">
        <v>-167.63502454447143</v>
      </c>
      <c r="Q7" s="17">
        <v>-184.03810050753009</v>
      </c>
      <c r="R7" s="17">
        <v>-164.15040602379577</v>
      </c>
      <c r="S7" s="17">
        <v>-168.58881770529979</v>
      </c>
      <c r="T7" s="17">
        <v>-158.36103003577682</v>
      </c>
      <c r="U7" s="17">
        <v>-174.92263416257629</v>
      </c>
      <c r="V7" s="17">
        <v>-149.13137615442247</v>
      </c>
      <c r="W7" s="17">
        <v>-145.08364422996942</v>
      </c>
      <c r="X7" s="17">
        <v>-43.094581911972909</v>
      </c>
      <c r="Y7" s="17">
        <v>-43.132869623096894</v>
      </c>
      <c r="Z7" s="17">
        <v>-44.801841251352016</v>
      </c>
      <c r="AA7" s="17">
        <v>-36.706797570513572</v>
      </c>
      <c r="AB7" s="17">
        <v>-35.281622431150709</v>
      </c>
      <c r="AC7" s="17">
        <v>-40.2501073300607</v>
      </c>
      <c r="AD7" s="17">
        <v>-38.017141193111001</v>
      </c>
      <c r="AE7" s="17">
        <v>-37.017403278142865</v>
      </c>
      <c r="AF7" s="17">
        <v>-38.722493551876141</v>
      </c>
      <c r="AG7" s="17">
        <v>-37.3267143689161</v>
      </c>
      <c r="AH7" s="17">
        <v>-36.113940427656416</v>
      </c>
      <c r="AI7" s="17">
        <v>-32.800578251102479</v>
      </c>
      <c r="AJ7" s="17">
        <v>-31.594413012730001</v>
      </c>
      <c r="AK7" s="17">
        <v>-33.019945086945881</v>
      </c>
      <c r="AL7" s="17">
        <v>-33.806893252350392</v>
      </c>
      <c r="AM7" s="17">
        <v>-30.543972044263455</v>
      </c>
    </row>
    <row r="8" spans="1:39" x14ac:dyDescent="0.25">
      <c r="A8" s="27" t="s">
        <v>5</v>
      </c>
      <c r="B8" s="15">
        <v>110</v>
      </c>
      <c r="C8" s="16">
        <v>1641</v>
      </c>
      <c r="D8" s="17">
        <v>1616</v>
      </c>
      <c r="E8" s="19">
        <v>1788</v>
      </c>
      <c r="F8" s="19">
        <v>1971</v>
      </c>
      <c r="G8" s="19">
        <v>1994</v>
      </c>
      <c r="H8" s="17">
        <v>1701</v>
      </c>
      <c r="I8" s="19">
        <v>1826</v>
      </c>
      <c r="J8" s="18">
        <v>1971</v>
      </c>
      <c r="K8" s="19">
        <v>1663</v>
      </c>
      <c r="L8" s="17">
        <v>1325</v>
      </c>
      <c r="M8" s="17">
        <v>2011</v>
      </c>
      <c r="N8" s="18">
        <v>1702</v>
      </c>
      <c r="O8" s="19">
        <v>1136</v>
      </c>
      <c r="P8" s="17">
        <v>1783</v>
      </c>
      <c r="Q8" s="17">
        <v>2016</v>
      </c>
      <c r="R8" s="17">
        <v>2401</v>
      </c>
      <c r="S8" s="17">
        <v>1007</v>
      </c>
      <c r="T8" s="17">
        <v>1789</v>
      </c>
      <c r="U8" s="17">
        <v>2008</v>
      </c>
      <c r="V8" s="17">
        <v>2153</v>
      </c>
      <c r="W8" s="17">
        <v>1742</v>
      </c>
      <c r="X8" s="17">
        <v>1665</v>
      </c>
      <c r="Y8" s="17">
        <v>1904</v>
      </c>
      <c r="Z8" s="17">
        <v>1866</v>
      </c>
      <c r="AA8" s="17">
        <v>1788</v>
      </c>
      <c r="AB8" s="17">
        <v>1500</v>
      </c>
      <c r="AC8" s="17">
        <v>1876</v>
      </c>
      <c r="AD8" s="17">
        <v>1840</v>
      </c>
      <c r="AE8" s="17">
        <v>1730</v>
      </c>
      <c r="AF8" s="17">
        <v>1662</v>
      </c>
      <c r="AG8" s="17">
        <v>1901</v>
      </c>
      <c r="AH8" s="17">
        <v>1856</v>
      </c>
      <c r="AI8" s="17">
        <v>1716</v>
      </c>
      <c r="AJ8" s="17">
        <v>1579</v>
      </c>
      <c r="AK8" s="17">
        <v>1739</v>
      </c>
      <c r="AL8" s="17">
        <v>1702</v>
      </c>
      <c r="AM8" s="17">
        <v>1646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C7E5C-CDF1-494F-8012-B3878F314B01}">
  <dimension ref="A1:AM24"/>
  <sheetViews>
    <sheetView workbookViewId="0">
      <pane xSplit="1" topLeftCell="B1" activePane="topRight" state="frozen"/>
      <selection pane="topRight" activeCell="G24" sqref="G24"/>
    </sheetView>
  </sheetViews>
  <sheetFormatPr baseColWidth="10" defaultRowHeight="15" x14ac:dyDescent="0.25"/>
  <cols>
    <col min="1" max="1" width="29.140625" bestFit="1" customWidth="1"/>
  </cols>
  <sheetData>
    <row r="1" spans="1:39" x14ac:dyDescent="0.25">
      <c r="A1" s="11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30</v>
      </c>
      <c r="W1" s="2" t="s">
        <v>31</v>
      </c>
      <c r="X1" s="2" t="s">
        <v>32</v>
      </c>
      <c r="Y1" s="2" t="s">
        <v>33</v>
      </c>
      <c r="Z1" s="2" t="s">
        <v>34</v>
      </c>
      <c r="AA1" s="2" t="s">
        <v>35</v>
      </c>
      <c r="AB1" s="2" t="s">
        <v>36</v>
      </c>
      <c r="AC1" s="2" t="s">
        <v>37</v>
      </c>
      <c r="AD1" s="2" t="s">
        <v>38</v>
      </c>
      <c r="AE1" s="2" t="s">
        <v>39</v>
      </c>
      <c r="AF1" s="2" t="s">
        <v>40</v>
      </c>
      <c r="AG1" s="2" t="s">
        <v>41</v>
      </c>
      <c r="AH1" s="2" t="s">
        <v>42</v>
      </c>
      <c r="AI1" s="2" t="s">
        <v>43</v>
      </c>
      <c r="AJ1" s="2" t="s">
        <v>44</v>
      </c>
      <c r="AK1" s="2" t="s">
        <v>45</v>
      </c>
      <c r="AL1" s="2" t="s">
        <v>46</v>
      </c>
      <c r="AM1" s="2" t="s">
        <v>47</v>
      </c>
    </row>
    <row r="2" spans="1:39" x14ac:dyDescent="0.25">
      <c r="A2" s="1" t="s">
        <v>10</v>
      </c>
      <c r="B2" s="6">
        <v>4751</v>
      </c>
      <c r="C2" s="8">
        <v>4438</v>
      </c>
      <c r="D2" s="6">
        <v>4495</v>
      </c>
      <c r="E2" s="6">
        <v>4692</v>
      </c>
      <c r="F2" s="6">
        <v>4582</v>
      </c>
      <c r="G2" s="8">
        <v>4328</v>
      </c>
      <c r="H2" s="6">
        <v>4403</v>
      </c>
      <c r="I2" s="6">
        <v>4347</v>
      </c>
      <c r="J2" s="8">
        <v>3633</v>
      </c>
      <c r="K2" s="8">
        <v>4142</v>
      </c>
      <c r="L2" s="7">
        <v>4162</v>
      </c>
      <c r="M2" s="8">
        <v>4036</v>
      </c>
      <c r="N2" s="7">
        <v>4163</v>
      </c>
      <c r="O2" s="7">
        <v>3763</v>
      </c>
      <c r="P2" s="7">
        <v>3918</v>
      </c>
      <c r="Q2" s="7">
        <v>4006</v>
      </c>
      <c r="R2" s="7">
        <v>4129</v>
      </c>
      <c r="S2" s="7">
        <v>3811</v>
      </c>
      <c r="T2" s="7">
        <v>3837</v>
      </c>
      <c r="U2" s="7">
        <v>4007</v>
      </c>
      <c r="V2" s="7">
        <v>3884</v>
      </c>
      <c r="W2" s="7">
        <v>3677</v>
      </c>
      <c r="X2" s="7">
        <v>3717</v>
      </c>
      <c r="Y2" s="7">
        <v>3902</v>
      </c>
      <c r="Z2" s="7">
        <v>3851</v>
      </c>
      <c r="AA2" s="7">
        <v>3619</v>
      </c>
      <c r="AB2" s="7">
        <v>3678</v>
      </c>
      <c r="AC2" s="7">
        <v>3905</v>
      </c>
      <c r="AD2" s="7">
        <v>3822</v>
      </c>
      <c r="AE2" s="7">
        <v>3626</v>
      </c>
      <c r="AF2" s="7">
        <v>3795</v>
      </c>
      <c r="AG2" s="7">
        <v>3975</v>
      </c>
      <c r="AH2" s="7">
        <v>3837</v>
      </c>
      <c r="AI2" s="7">
        <v>3611</v>
      </c>
      <c r="AJ2" s="7">
        <v>3606</v>
      </c>
      <c r="AK2" s="7">
        <v>3832</v>
      </c>
      <c r="AL2" s="7">
        <v>3738</v>
      </c>
      <c r="AM2" s="7">
        <v>3586</v>
      </c>
    </row>
    <row r="3" spans="1:39" x14ac:dyDescent="0.25">
      <c r="A3" t="s">
        <v>12</v>
      </c>
      <c r="B3" s="6">
        <v>2447</v>
      </c>
      <c r="C3" s="8">
        <v>2770</v>
      </c>
      <c r="D3" s="6">
        <v>2534</v>
      </c>
      <c r="E3" s="6">
        <v>2642</v>
      </c>
      <c r="F3" s="6">
        <v>2655</v>
      </c>
      <c r="G3" s="8">
        <v>2769</v>
      </c>
      <c r="H3" s="6">
        <v>2540</v>
      </c>
      <c r="I3" s="6">
        <v>2474</v>
      </c>
      <c r="J3" s="8">
        <v>2210</v>
      </c>
      <c r="K3" s="8">
        <v>2345</v>
      </c>
      <c r="L3" s="7">
        <v>2413</v>
      </c>
      <c r="M3" s="8">
        <v>2490</v>
      </c>
      <c r="N3" s="7">
        <v>2415</v>
      </c>
      <c r="O3" s="7">
        <v>2478</v>
      </c>
      <c r="P3" s="7">
        <v>2453</v>
      </c>
      <c r="Q3" s="7">
        <v>2621</v>
      </c>
      <c r="R3" s="7">
        <v>2504</v>
      </c>
      <c r="S3" s="7">
        <v>2676</v>
      </c>
      <c r="T3" s="7">
        <v>2474</v>
      </c>
      <c r="U3" s="7">
        <v>2580</v>
      </c>
      <c r="V3" s="7">
        <v>2322</v>
      </c>
      <c r="W3" s="7">
        <v>2433</v>
      </c>
      <c r="X3" s="7">
        <v>2162</v>
      </c>
      <c r="Y3" s="7">
        <v>2328</v>
      </c>
      <c r="Z3" s="7">
        <v>2144</v>
      </c>
      <c r="AA3" s="7">
        <v>2213</v>
      </c>
      <c r="AB3" s="7">
        <v>2109</v>
      </c>
      <c r="AC3" s="7">
        <v>2290</v>
      </c>
      <c r="AD3" s="7">
        <v>2252</v>
      </c>
      <c r="AE3" s="7">
        <v>2390</v>
      </c>
      <c r="AF3" s="7">
        <v>2249</v>
      </c>
      <c r="AG3" s="7">
        <v>2438</v>
      </c>
      <c r="AH3" s="7">
        <v>2371</v>
      </c>
      <c r="AI3" s="7">
        <v>2360</v>
      </c>
      <c r="AJ3" s="7">
        <v>2180</v>
      </c>
      <c r="AK3" s="7">
        <v>2342</v>
      </c>
      <c r="AL3" s="7">
        <v>2239</v>
      </c>
      <c r="AM3" s="7">
        <v>2286</v>
      </c>
    </row>
    <row r="4" spans="1:39" x14ac:dyDescent="0.25">
      <c r="A4" t="s">
        <v>13</v>
      </c>
      <c r="B4" s="6">
        <v>1504</v>
      </c>
      <c r="C4" s="8">
        <v>1621</v>
      </c>
      <c r="D4" s="6">
        <v>1583</v>
      </c>
      <c r="E4" s="6">
        <v>1608</v>
      </c>
      <c r="F4" s="6">
        <v>1714</v>
      </c>
      <c r="G4" s="8">
        <v>1755</v>
      </c>
      <c r="H4" s="6">
        <v>1659</v>
      </c>
      <c r="I4" s="6">
        <v>1528</v>
      </c>
      <c r="J4" s="8">
        <v>1332</v>
      </c>
      <c r="K4" s="8">
        <v>1590</v>
      </c>
      <c r="L4" s="7">
        <v>1544</v>
      </c>
      <c r="M4" s="8">
        <v>1465</v>
      </c>
      <c r="N4" s="7">
        <v>1593</v>
      </c>
      <c r="O4" s="7">
        <v>1624</v>
      </c>
      <c r="P4" s="7">
        <v>1577</v>
      </c>
      <c r="Q4" s="7">
        <v>1527</v>
      </c>
      <c r="R4" s="7">
        <v>1758</v>
      </c>
      <c r="S4" s="7">
        <v>1792</v>
      </c>
      <c r="T4" s="7">
        <v>1685</v>
      </c>
      <c r="U4" s="7">
        <v>1589</v>
      </c>
      <c r="V4" s="7">
        <v>1605</v>
      </c>
      <c r="W4" s="7">
        <v>1577</v>
      </c>
      <c r="X4" s="7">
        <v>1438</v>
      </c>
      <c r="Y4" s="7">
        <v>1481</v>
      </c>
      <c r="Z4" s="7">
        <v>1665</v>
      </c>
      <c r="AA4" s="7">
        <v>1579</v>
      </c>
      <c r="AB4" s="7">
        <v>1533</v>
      </c>
      <c r="AC4" s="7">
        <v>1517</v>
      </c>
      <c r="AD4" s="7">
        <v>1612</v>
      </c>
      <c r="AE4" s="7">
        <v>1566</v>
      </c>
      <c r="AF4" s="7">
        <v>1682</v>
      </c>
      <c r="AG4" s="7">
        <v>1725</v>
      </c>
      <c r="AH4" s="7">
        <v>1929</v>
      </c>
      <c r="AI4" s="7">
        <v>1862</v>
      </c>
      <c r="AJ4" s="7">
        <v>1796</v>
      </c>
      <c r="AK4" s="7">
        <v>1747</v>
      </c>
      <c r="AL4" s="7">
        <v>1777</v>
      </c>
      <c r="AM4" s="7">
        <v>1765</v>
      </c>
    </row>
    <row r="5" spans="1:39" x14ac:dyDescent="0.25">
      <c r="A5" t="s">
        <v>49</v>
      </c>
      <c r="B5" s="6">
        <v>0</v>
      </c>
      <c r="C5" s="8">
        <v>0</v>
      </c>
      <c r="D5" s="6">
        <v>0</v>
      </c>
      <c r="E5" s="6">
        <v>0</v>
      </c>
      <c r="F5" s="6">
        <v>-1</v>
      </c>
      <c r="G5" s="8">
        <v>-1</v>
      </c>
      <c r="H5" s="6">
        <v>-18</v>
      </c>
      <c r="I5" s="6">
        <v>0</v>
      </c>
      <c r="J5" s="8">
        <v>1</v>
      </c>
      <c r="K5" s="8">
        <v>-2</v>
      </c>
      <c r="L5" s="7">
        <v>-8</v>
      </c>
      <c r="M5" s="8">
        <v>0</v>
      </c>
      <c r="N5" s="7">
        <v>0</v>
      </c>
      <c r="O5" s="7">
        <v>-2</v>
      </c>
      <c r="P5" s="7">
        <v>-3</v>
      </c>
      <c r="Q5" s="7">
        <v>-2</v>
      </c>
      <c r="R5" s="7">
        <v>-1</v>
      </c>
      <c r="S5" s="7">
        <v>-1</v>
      </c>
      <c r="T5" s="7">
        <v>-6</v>
      </c>
      <c r="U5" s="7">
        <v>-4</v>
      </c>
      <c r="V5" s="7">
        <v>-1</v>
      </c>
      <c r="W5" s="7">
        <v>-2</v>
      </c>
      <c r="X5" s="7">
        <v>12</v>
      </c>
      <c r="Y5" s="7">
        <v>-2</v>
      </c>
      <c r="Z5" s="7">
        <v>2</v>
      </c>
      <c r="AA5" s="7">
        <v>-2</v>
      </c>
      <c r="AB5" s="7">
        <v>-22</v>
      </c>
      <c r="AC5" s="7">
        <v>0</v>
      </c>
      <c r="AD5" s="7">
        <v>0</v>
      </c>
      <c r="AE5" s="7">
        <v>-4</v>
      </c>
      <c r="AF5" s="7">
        <v>-7</v>
      </c>
      <c r="AG5" s="7">
        <v>-1</v>
      </c>
      <c r="AH5" s="7">
        <v>-3</v>
      </c>
      <c r="AI5" s="7">
        <v>-2</v>
      </c>
      <c r="AJ5" s="7">
        <v>-13</v>
      </c>
      <c r="AK5" s="7">
        <v>-5</v>
      </c>
      <c r="AL5" s="7">
        <v>-2</v>
      </c>
      <c r="AM5" s="7">
        <v>-3</v>
      </c>
    </row>
    <row r="6" spans="1:39" x14ac:dyDescent="0.25">
      <c r="A6" s="4" t="s">
        <v>11</v>
      </c>
      <c r="B6" s="6">
        <v>8702</v>
      </c>
      <c r="C6" s="8">
        <v>8829</v>
      </c>
      <c r="D6" s="6">
        <v>8612</v>
      </c>
      <c r="E6" s="6">
        <v>8942</v>
      </c>
      <c r="F6" s="6">
        <v>8950</v>
      </c>
      <c r="G6" s="8">
        <v>8851</v>
      </c>
      <c r="H6" s="6">
        <v>8583</v>
      </c>
      <c r="I6" s="6">
        <v>8350</v>
      </c>
      <c r="J6" s="8">
        <v>7176</v>
      </c>
      <c r="K6" s="8">
        <v>8075</v>
      </c>
      <c r="L6" s="7">
        <v>8111</v>
      </c>
      <c r="M6" s="8">
        <v>7991</v>
      </c>
      <c r="N6" s="7">
        <v>8171</v>
      </c>
      <c r="O6" s="7">
        <v>7863</v>
      </c>
      <c r="P6" s="7">
        <v>7945</v>
      </c>
      <c r="Q6" s="7">
        <v>8152</v>
      </c>
      <c r="R6" s="7">
        <v>8390</v>
      </c>
      <c r="S6" s="7">
        <v>8278</v>
      </c>
      <c r="T6" s="7">
        <v>7990</v>
      </c>
      <c r="U6" s="7">
        <v>8172</v>
      </c>
      <c r="V6" s="7">
        <v>7810</v>
      </c>
      <c r="W6" s="7">
        <v>7685</v>
      </c>
      <c r="X6" s="7">
        <v>7329</v>
      </c>
      <c r="Y6" s="7">
        <v>7709</v>
      </c>
      <c r="Z6" s="7">
        <v>7662</v>
      </c>
      <c r="AA6" s="7">
        <v>7409</v>
      </c>
      <c r="AB6" s="7">
        <v>7298</v>
      </c>
      <c r="AC6" s="7">
        <v>7712</v>
      </c>
      <c r="AD6" s="7">
        <v>7686</v>
      </c>
      <c r="AE6" s="7">
        <v>7578</v>
      </c>
      <c r="AF6" s="7">
        <v>7719</v>
      </c>
      <c r="AG6" s="7">
        <v>8137</v>
      </c>
      <c r="AH6" s="7">
        <v>8134</v>
      </c>
      <c r="AI6" s="7">
        <v>7831</v>
      </c>
      <c r="AJ6" s="7">
        <v>7569</v>
      </c>
      <c r="AK6" s="7">
        <v>7916</v>
      </c>
      <c r="AL6" s="7">
        <v>7752</v>
      </c>
      <c r="AM6" s="7">
        <v>7634</v>
      </c>
    </row>
    <row r="24" spans="3:3" x14ac:dyDescent="0.25">
      <c r="C24" s="22"/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A2970-67FD-4443-869E-4B01060EDCA9}">
  <dimension ref="A1:Q144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39.42578125" bestFit="1" customWidth="1"/>
    <col min="2" max="2" width="10.28515625" customWidth="1"/>
    <col min="3" max="3" width="9.140625" bestFit="1" customWidth="1"/>
    <col min="5" max="5" width="25" bestFit="1" customWidth="1"/>
    <col min="6" max="6" width="17.28515625" bestFit="1" customWidth="1"/>
    <col min="7" max="7" width="10.85546875" bestFit="1" customWidth="1"/>
    <col min="9" max="9" width="12" bestFit="1" customWidth="1"/>
  </cols>
  <sheetData>
    <row r="1" spans="1:7" x14ac:dyDescent="0.25">
      <c r="A1" s="22" t="s">
        <v>0</v>
      </c>
      <c r="B1" t="s">
        <v>76</v>
      </c>
      <c r="C1" t="s">
        <v>10</v>
      </c>
      <c r="D1" t="s">
        <v>12</v>
      </c>
      <c r="E1" t="s">
        <v>66</v>
      </c>
      <c r="F1" t="s">
        <v>49</v>
      </c>
      <c r="G1" t="s">
        <v>11</v>
      </c>
    </row>
    <row r="2" spans="1:7" x14ac:dyDescent="0.25">
      <c r="A2" t="s">
        <v>67</v>
      </c>
      <c r="B2" t="s">
        <v>8</v>
      </c>
      <c r="C2">
        <v>1692</v>
      </c>
      <c r="D2">
        <v>822</v>
      </c>
      <c r="E2" s="24">
        <v>551</v>
      </c>
      <c r="F2">
        <v>-1</v>
      </c>
      <c r="G2" s="24">
        <v>3064</v>
      </c>
    </row>
    <row r="3" spans="1:7" x14ac:dyDescent="0.25">
      <c r="A3" t="s">
        <v>68</v>
      </c>
      <c r="B3" t="s">
        <v>8</v>
      </c>
      <c r="C3">
        <v>699</v>
      </c>
      <c r="D3">
        <v>1413</v>
      </c>
      <c r="E3" s="24">
        <v>195</v>
      </c>
      <c r="F3">
        <v>-1</v>
      </c>
      <c r="G3" s="24">
        <v>2306</v>
      </c>
    </row>
    <row r="4" spans="1:7" x14ac:dyDescent="0.25">
      <c r="A4" t="s">
        <v>69</v>
      </c>
      <c r="B4" t="s">
        <v>8</v>
      </c>
      <c r="C4">
        <v>1334</v>
      </c>
      <c r="D4">
        <v>421</v>
      </c>
      <c r="E4" s="24">
        <v>520</v>
      </c>
      <c r="F4">
        <v>0</v>
      </c>
      <c r="G4" s="24">
        <v>2275</v>
      </c>
    </row>
    <row r="5" spans="1:7" x14ac:dyDescent="0.25">
      <c r="A5" t="s">
        <v>70</v>
      </c>
      <c r="B5" t="s">
        <v>8</v>
      </c>
      <c r="C5">
        <v>1055</v>
      </c>
      <c r="D5">
        <v>255</v>
      </c>
      <c r="E5" s="24">
        <v>166</v>
      </c>
      <c r="F5">
        <v>0</v>
      </c>
      <c r="G5" s="24">
        <v>1476</v>
      </c>
    </row>
    <row r="6" spans="1:7" x14ac:dyDescent="0.25">
      <c r="A6" t="s">
        <v>4</v>
      </c>
      <c r="B6" t="s">
        <v>8</v>
      </c>
      <c r="C6">
        <v>0</v>
      </c>
      <c r="D6">
        <v>0</v>
      </c>
      <c r="E6" s="24">
        <v>0</v>
      </c>
      <c r="F6">
        <v>0</v>
      </c>
      <c r="G6" s="24">
        <v>0</v>
      </c>
    </row>
    <row r="7" spans="1:7" x14ac:dyDescent="0.25">
      <c r="A7" t="s">
        <v>63</v>
      </c>
      <c r="B7" t="s">
        <v>8</v>
      </c>
      <c r="C7" s="24">
        <v>-285</v>
      </c>
      <c r="D7" s="24">
        <v>-377</v>
      </c>
      <c r="E7" s="24">
        <v>151</v>
      </c>
      <c r="F7" s="24">
        <v>2</v>
      </c>
      <c r="G7" s="24">
        <v>-509</v>
      </c>
    </row>
    <row r="8" spans="1:7" x14ac:dyDescent="0.25">
      <c r="A8" t="s">
        <v>5</v>
      </c>
      <c r="B8" t="s">
        <v>8</v>
      </c>
      <c r="C8" s="24">
        <v>4495</v>
      </c>
      <c r="D8" s="24">
        <v>2534</v>
      </c>
      <c r="E8" s="24">
        <v>1583</v>
      </c>
      <c r="F8" s="24">
        <v>0</v>
      </c>
      <c r="G8" s="24">
        <v>8612</v>
      </c>
    </row>
    <row r="9" spans="1:7" x14ac:dyDescent="0.25">
      <c r="A9" t="s">
        <v>67</v>
      </c>
      <c r="B9" t="s">
        <v>9</v>
      </c>
      <c r="C9">
        <v>1710</v>
      </c>
      <c r="D9">
        <v>828</v>
      </c>
      <c r="E9">
        <v>698</v>
      </c>
      <c r="F9">
        <v>-1</v>
      </c>
      <c r="G9">
        <v>3235</v>
      </c>
    </row>
    <row r="10" spans="1:7" x14ac:dyDescent="0.25">
      <c r="A10" t="s">
        <v>68</v>
      </c>
      <c r="B10" t="s">
        <v>9</v>
      </c>
      <c r="C10">
        <v>728</v>
      </c>
      <c r="D10">
        <v>1367</v>
      </c>
      <c r="E10">
        <v>355</v>
      </c>
      <c r="F10">
        <v>0</v>
      </c>
      <c r="G10">
        <v>2450</v>
      </c>
    </row>
    <row r="11" spans="1:7" x14ac:dyDescent="0.25">
      <c r="A11" t="s">
        <v>69</v>
      </c>
      <c r="B11" t="s">
        <v>9</v>
      </c>
      <c r="C11">
        <v>1357</v>
      </c>
      <c r="D11">
        <v>425</v>
      </c>
      <c r="E11">
        <v>467</v>
      </c>
      <c r="F11">
        <v>0</v>
      </c>
      <c r="G11">
        <v>2249</v>
      </c>
    </row>
    <row r="12" spans="1:7" x14ac:dyDescent="0.25">
      <c r="A12" t="s">
        <v>70</v>
      </c>
      <c r="B12" t="s">
        <v>9</v>
      </c>
      <c r="C12">
        <v>1135</v>
      </c>
      <c r="D12">
        <v>241</v>
      </c>
      <c r="E12">
        <v>149</v>
      </c>
      <c r="F12">
        <v>0</v>
      </c>
      <c r="G12">
        <v>1525</v>
      </c>
    </row>
    <row r="13" spans="1:7" x14ac:dyDescent="0.25">
      <c r="A13" t="s">
        <v>4</v>
      </c>
      <c r="B13" t="s">
        <v>9</v>
      </c>
      <c r="C13">
        <v>1</v>
      </c>
      <c r="D13">
        <v>0</v>
      </c>
      <c r="E13">
        <v>1</v>
      </c>
      <c r="F13">
        <v>1</v>
      </c>
      <c r="G13">
        <v>3</v>
      </c>
    </row>
    <row r="14" spans="1:7" x14ac:dyDescent="0.25">
      <c r="A14" t="s">
        <v>63</v>
      </c>
      <c r="B14" t="s">
        <v>9</v>
      </c>
      <c r="C14">
        <v>-239</v>
      </c>
      <c r="D14">
        <v>-219</v>
      </c>
      <c r="E14">
        <v>-62</v>
      </c>
      <c r="F14">
        <v>0</v>
      </c>
      <c r="G14">
        <v>-520</v>
      </c>
    </row>
    <row r="15" spans="1:7" x14ac:dyDescent="0.25">
      <c r="A15" t="s">
        <v>5</v>
      </c>
      <c r="B15" t="s">
        <v>9</v>
      </c>
      <c r="C15">
        <v>4692</v>
      </c>
      <c r="D15">
        <v>2642</v>
      </c>
      <c r="E15">
        <v>1608</v>
      </c>
      <c r="F15">
        <v>0</v>
      </c>
      <c r="G15">
        <v>8942</v>
      </c>
    </row>
    <row r="16" spans="1:7" x14ac:dyDescent="0.25">
      <c r="A16" t="s">
        <v>67</v>
      </c>
      <c r="B16" t="s">
        <v>14</v>
      </c>
      <c r="C16">
        <v>1670</v>
      </c>
      <c r="D16">
        <v>814</v>
      </c>
      <c r="E16">
        <v>770</v>
      </c>
      <c r="F16">
        <v>0</v>
      </c>
      <c r="G16">
        <v>3254</v>
      </c>
    </row>
    <row r="17" spans="1:7" x14ac:dyDescent="0.25">
      <c r="A17" t="s">
        <v>68</v>
      </c>
      <c r="B17" t="s">
        <v>14</v>
      </c>
      <c r="C17">
        <v>718</v>
      </c>
      <c r="D17">
        <v>1382</v>
      </c>
      <c r="E17">
        <v>383</v>
      </c>
      <c r="F17">
        <v>-1</v>
      </c>
      <c r="G17">
        <v>2482</v>
      </c>
    </row>
    <row r="18" spans="1:7" x14ac:dyDescent="0.25">
      <c r="A18" t="s">
        <v>69</v>
      </c>
      <c r="B18" t="s">
        <v>14</v>
      </c>
      <c r="C18">
        <v>1333</v>
      </c>
      <c r="D18">
        <v>430</v>
      </c>
      <c r="E18">
        <v>516</v>
      </c>
      <c r="F18">
        <v>-1</v>
      </c>
      <c r="G18">
        <v>2278</v>
      </c>
    </row>
    <row r="19" spans="1:7" x14ac:dyDescent="0.25">
      <c r="A19" t="s">
        <v>70</v>
      </c>
      <c r="B19" t="s">
        <v>14</v>
      </c>
      <c r="C19">
        <v>1081</v>
      </c>
      <c r="D19">
        <v>246</v>
      </c>
      <c r="E19">
        <v>155</v>
      </c>
      <c r="F19">
        <v>0</v>
      </c>
      <c r="G19">
        <v>1482</v>
      </c>
    </row>
    <row r="20" spans="1:7" x14ac:dyDescent="0.25">
      <c r="A20" t="s">
        <v>4</v>
      </c>
      <c r="B20" t="s">
        <v>14</v>
      </c>
      <c r="C20">
        <v>1</v>
      </c>
      <c r="D20">
        <v>0</v>
      </c>
      <c r="E20">
        <v>0</v>
      </c>
      <c r="F20">
        <v>0</v>
      </c>
      <c r="G20">
        <v>1</v>
      </c>
    </row>
    <row r="21" spans="1:7" x14ac:dyDescent="0.25">
      <c r="A21" t="s">
        <v>63</v>
      </c>
      <c r="B21" t="s">
        <v>14</v>
      </c>
      <c r="C21">
        <v>-221</v>
      </c>
      <c r="D21">
        <v>-217</v>
      </c>
      <c r="E21">
        <v>-110</v>
      </c>
      <c r="F21">
        <v>1</v>
      </c>
      <c r="G21">
        <v>-547</v>
      </c>
    </row>
    <row r="22" spans="1:7" x14ac:dyDescent="0.25">
      <c r="A22" t="s">
        <v>5</v>
      </c>
      <c r="B22" t="s">
        <v>14</v>
      </c>
      <c r="C22">
        <v>4582</v>
      </c>
      <c r="D22">
        <v>2655</v>
      </c>
      <c r="E22">
        <v>1714</v>
      </c>
      <c r="F22">
        <v>-1</v>
      </c>
      <c r="G22">
        <v>8950</v>
      </c>
    </row>
    <row r="23" spans="1:7" x14ac:dyDescent="0.25">
      <c r="A23" t="s">
        <v>67</v>
      </c>
      <c r="B23" t="s">
        <v>15</v>
      </c>
      <c r="C23">
        <v>1697</v>
      </c>
      <c r="D23">
        <v>823</v>
      </c>
      <c r="E23">
        <v>807</v>
      </c>
      <c r="F23">
        <v>0</v>
      </c>
      <c r="G23">
        <v>3327</v>
      </c>
    </row>
    <row r="24" spans="1:7" x14ac:dyDescent="0.25">
      <c r="A24" t="s">
        <v>68</v>
      </c>
      <c r="B24" t="s">
        <v>15</v>
      </c>
      <c r="C24">
        <v>650</v>
      </c>
      <c r="D24">
        <v>1490</v>
      </c>
      <c r="E24">
        <v>391</v>
      </c>
      <c r="F24">
        <v>0</v>
      </c>
      <c r="G24">
        <v>2531</v>
      </c>
    </row>
    <row r="25" spans="1:7" x14ac:dyDescent="0.25">
      <c r="A25" t="s">
        <v>69</v>
      </c>
      <c r="B25" t="s">
        <v>15</v>
      </c>
      <c r="C25">
        <v>1311</v>
      </c>
      <c r="D25">
        <v>408</v>
      </c>
      <c r="E25">
        <v>529</v>
      </c>
      <c r="F25">
        <v>0</v>
      </c>
      <c r="G25">
        <v>2248</v>
      </c>
    </row>
    <row r="26" spans="1:7" x14ac:dyDescent="0.25">
      <c r="A26" t="s">
        <v>70</v>
      </c>
      <c r="B26" t="s">
        <v>15</v>
      </c>
      <c r="C26">
        <v>949</v>
      </c>
      <c r="D26">
        <v>278</v>
      </c>
      <c r="E26">
        <v>146</v>
      </c>
      <c r="F26">
        <v>0</v>
      </c>
      <c r="G26">
        <v>1373</v>
      </c>
    </row>
    <row r="27" spans="1:7" x14ac:dyDescent="0.25">
      <c r="A27" t="s">
        <v>4</v>
      </c>
      <c r="B27" t="s">
        <v>15</v>
      </c>
      <c r="C27">
        <v>-1</v>
      </c>
      <c r="D27">
        <v>0</v>
      </c>
      <c r="E27">
        <v>0</v>
      </c>
      <c r="F27">
        <v>-1</v>
      </c>
      <c r="G27">
        <v>-2</v>
      </c>
    </row>
    <row r="28" spans="1:7" x14ac:dyDescent="0.25">
      <c r="A28" t="s">
        <v>63</v>
      </c>
      <c r="B28" t="s">
        <v>15</v>
      </c>
      <c r="C28">
        <v>-278</v>
      </c>
      <c r="D28">
        <v>-230</v>
      </c>
      <c r="E28">
        <v>-118</v>
      </c>
      <c r="F28">
        <v>0</v>
      </c>
      <c r="G28">
        <v>-626</v>
      </c>
    </row>
    <row r="29" spans="1:7" x14ac:dyDescent="0.25">
      <c r="A29" t="s">
        <v>5</v>
      </c>
      <c r="B29" t="s">
        <v>15</v>
      </c>
      <c r="C29">
        <v>4328</v>
      </c>
      <c r="D29">
        <v>2769</v>
      </c>
      <c r="E29">
        <v>1755</v>
      </c>
      <c r="F29">
        <v>-1</v>
      </c>
      <c r="G29">
        <v>8851</v>
      </c>
    </row>
    <row r="30" spans="1:7" x14ac:dyDescent="0.25">
      <c r="A30" t="s">
        <v>67</v>
      </c>
      <c r="B30" t="s">
        <v>16</v>
      </c>
      <c r="C30">
        <v>1677</v>
      </c>
      <c r="D30">
        <v>742</v>
      </c>
      <c r="E30">
        <v>753</v>
      </c>
      <c r="F30">
        <v>-6</v>
      </c>
      <c r="G30">
        <v>3166</v>
      </c>
    </row>
    <row r="31" spans="1:7" x14ac:dyDescent="0.25">
      <c r="A31" t="s">
        <v>68</v>
      </c>
      <c r="B31" t="s">
        <v>16</v>
      </c>
      <c r="C31">
        <v>607</v>
      </c>
      <c r="D31">
        <v>1386</v>
      </c>
      <c r="E31">
        <v>349</v>
      </c>
      <c r="F31">
        <v>-7</v>
      </c>
      <c r="G31">
        <v>2335</v>
      </c>
    </row>
    <row r="32" spans="1:7" x14ac:dyDescent="0.25">
      <c r="A32" t="s">
        <v>69</v>
      </c>
      <c r="B32" t="s">
        <v>16</v>
      </c>
      <c r="C32">
        <v>1372</v>
      </c>
      <c r="D32">
        <v>387</v>
      </c>
      <c r="E32">
        <v>503</v>
      </c>
      <c r="F32">
        <v>-4</v>
      </c>
      <c r="G32">
        <v>2258</v>
      </c>
    </row>
    <row r="33" spans="1:7" x14ac:dyDescent="0.25">
      <c r="A33" t="s">
        <v>70</v>
      </c>
      <c r="B33" t="s">
        <v>16</v>
      </c>
      <c r="C33">
        <v>1031</v>
      </c>
      <c r="D33">
        <v>242</v>
      </c>
      <c r="E33">
        <v>172</v>
      </c>
      <c r="F33">
        <v>-2</v>
      </c>
      <c r="G33">
        <v>1443</v>
      </c>
    </row>
    <row r="34" spans="1:7" x14ac:dyDescent="0.25">
      <c r="A34" t="s">
        <v>4</v>
      </c>
      <c r="B34" t="s">
        <v>16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t="s">
        <v>63</v>
      </c>
      <c r="B35" t="s">
        <v>16</v>
      </c>
      <c r="C35">
        <v>-284</v>
      </c>
      <c r="D35">
        <v>-217</v>
      </c>
      <c r="E35">
        <v>-118</v>
      </c>
      <c r="F35">
        <v>0</v>
      </c>
      <c r="G35">
        <v>-619</v>
      </c>
    </row>
    <row r="36" spans="1:7" x14ac:dyDescent="0.25">
      <c r="A36" t="s">
        <v>5</v>
      </c>
      <c r="B36" t="s">
        <v>16</v>
      </c>
      <c r="C36">
        <v>4403</v>
      </c>
      <c r="D36">
        <v>2540</v>
      </c>
      <c r="E36">
        <v>1659</v>
      </c>
      <c r="F36">
        <v>-19</v>
      </c>
      <c r="G36">
        <v>8583</v>
      </c>
    </row>
    <row r="37" spans="1:7" x14ac:dyDescent="0.25">
      <c r="A37" t="s">
        <v>67</v>
      </c>
      <c r="B37" t="s">
        <v>17</v>
      </c>
      <c r="C37">
        <v>1618</v>
      </c>
      <c r="D37">
        <v>702</v>
      </c>
      <c r="E37">
        <v>696</v>
      </c>
      <c r="F37">
        <v>1</v>
      </c>
      <c r="G37">
        <v>3017</v>
      </c>
    </row>
    <row r="38" spans="1:7" x14ac:dyDescent="0.25">
      <c r="A38" t="s">
        <v>68</v>
      </c>
      <c r="B38" t="s">
        <v>17</v>
      </c>
      <c r="C38">
        <v>641</v>
      </c>
      <c r="D38">
        <v>1358</v>
      </c>
      <c r="E38">
        <v>317</v>
      </c>
      <c r="F38">
        <v>0</v>
      </c>
      <c r="G38">
        <v>2316</v>
      </c>
    </row>
    <row r="39" spans="1:7" x14ac:dyDescent="0.25">
      <c r="A39" t="s">
        <v>69</v>
      </c>
      <c r="B39" t="s">
        <v>17</v>
      </c>
      <c r="C39">
        <v>1335</v>
      </c>
      <c r="D39">
        <v>377</v>
      </c>
      <c r="E39">
        <v>447</v>
      </c>
      <c r="F39">
        <v>1</v>
      </c>
      <c r="G39">
        <v>2160</v>
      </c>
    </row>
    <row r="40" spans="1:7" x14ac:dyDescent="0.25">
      <c r="A40" t="s">
        <v>70</v>
      </c>
      <c r="B40" t="s">
        <v>17</v>
      </c>
      <c r="C40">
        <v>1032</v>
      </c>
      <c r="D40">
        <v>231</v>
      </c>
      <c r="E40">
        <v>148</v>
      </c>
      <c r="F40">
        <v>1</v>
      </c>
      <c r="G40">
        <v>1412</v>
      </c>
    </row>
    <row r="41" spans="1:7" x14ac:dyDescent="0.25">
      <c r="A41" t="s">
        <v>4</v>
      </c>
      <c r="B41" t="s">
        <v>17</v>
      </c>
      <c r="C41">
        <v>0</v>
      </c>
      <c r="D41">
        <v>0</v>
      </c>
      <c r="E41">
        <v>0</v>
      </c>
      <c r="F41">
        <v>-2</v>
      </c>
      <c r="G41">
        <v>-2</v>
      </c>
    </row>
    <row r="42" spans="1:7" x14ac:dyDescent="0.25">
      <c r="A42" t="s">
        <v>63</v>
      </c>
      <c r="B42" t="s">
        <v>17</v>
      </c>
      <c r="C42">
        <v>-279</v>
      </c>
      <c r="D42">
        <v>-194</v>
      </c>
      <c r="E42">
        <v>-80</v>
      </c>
      <c r="F42">
        <v>0</v>
      </c>
      <c r="G42">
        <v>-553</v>
      </c>
    </row>
    <row r="43" spans="1:7" x14ac:dyDescent="0.25">
      <c r="A43" t="s">
        <v>5</v>
      </c>
      <c r="B43" t="s">
        <v>17</v>
      </c>
      <c r="C43">
        <v>4347</v>
      </c>
      <c r="D43">
        <v>2474</v>
      </c>
      <c r="E43">
        <v>1528</v>
      </c>
      <c r="F43">
        <v>1</v>
      </c>
      <c r="G43">
        <v>8350</v>
      </c>
    </row>
    <row r="44" spans="1:7" x14ac:dyDescent="0.25">
      <c r="A44" t="s">
        <v>67</v>
      </c>
      <c r="B44" t="s">
        <v>18</v>
      </c>
      <c r="C44">
        <v>1365</v>
      </c>
      <c r="D44">
        <v>649</v>
      </c>
      <c r="E44">
        <v>644</v>
      </c>
      <c r="F44">
        <v>-1</v>
      </c>
      <c r="G44">
        <v>2657</v>
      </c>
    </row>
    <row r="45" spans="1:7" x14ac:dyDescent="0.25">
      <c r="A45" t="s">
        <v>68</v>
      </c>
      <c r="B45" t="s">
        <v>18</v>
      </c>
      <c r="C45">
        <v>532</v>
      </c>
      <c r="D45">
        <v>1151</v>
      </c>
      <c r="E45">
        <v>254</v>
      </c>
      <c r="F45">
        <v>0</v>
      </c>
      <c r="G45">
        <v>1937</v>
      </c>
    </row>
    <row r="46" spans="1:7" x14ac:dyDescent="0.25">
      <c r="A46" t="s">
        <v>69</v>
      </c>
      <c r="B46" t="s">
        <v>18</v>
      </c>
      <c r="C46">
        <v>1074</v>
      </c>
      <c r="D46">
        <v>358</v>
      </c>
      <c r="E46">
        <v>392</v>
      </c>
      <c r="F46">
        <v>-1</v>
      </c>
      <c r="G46">
        <v>1823</v>
      </c>
    </row>
    <row r="47" spans="1:7" x14ac:dyDescent="0.25">
      <c r="A47" t="s">
        <v>70</v>
      </c>
      <c r="B47" t="s">
        <v>18</v>
      </c>
      <c r="C47">
        <v>895</v>
      </c>
      <c r="D47">
        <v>216</v>
      </c>
      <c r="E47">
        <v>120</v>
      </c>
      <c r="F47">
        <v>0</v>
      </c>
      <c r="G47">
        <v>1231</v>
      </c>
    </row>
    <row r="48" spans="1:7" x14ac:dyDescent="0.25">
      <c r="A48" t="s">
        <v>4</v>
      </c>
      <c r="B48" t="s">
        <v>18</v>
      </c>
      <c r="C48">
        <v>-2</v>
      </c>
      <c r="D48">
        <v>0</v>
      </c>
      <c r="E48">
        <v>0</v>
      </c>
      <c r="F48">
        <v>3</v>
      </c>
      <c r="G48">
        <v>1</v>
      </c>
    </row>
    <row r="49" spans="1:7" x14ac:dyDescent="0.25">
      <c r="A49" t="s">
        <v>63</v>
      </c>
      <c r="B49" t="s">
        <v>18</v>
      </c>
      <c r="C49">
        <v>-231</v>
      </c>
      <c r="D49">
        <v>-164</v>
      </c>
      <c r="E49">
        <v>-78</v>
      </c>
      <c r="F49">
        <v>0</v>
      </c>
      <c r="G49">
        <v>-473</v>
      </c>
    </row>
    <row r="50" spans="1:7" x14ac:dyDescent="0.25">
      <c r="A50" t="s">
        <v>5</v>
      </c>
      <c r="B50" t="s">
        <v>18</v>
      </c>
      <c r="C50">
        <v>3633</v>
      </c>
      <c r="D50">
        <v>2210</v>
      </c>
      <c r="E50">
        <v>1332</v>
      </c>
      <c r="F50">
        <v>1</v>
      </c>
      <c r="G50">
        <v>7176</v>
      </c>
    </row>
    <row r="51" spans="1:7" x14ac:dyDescent="0.25">
      <c r="A51" t="s">
        <v>67</v>
      </c>
      <c r="B51" t="s">
        <v>19</v>
      </c>
      <c r="C51">
        <v>1517</v>
      </c>
      <c r="D51">
        <v>712</v>
      </c>
      <c r="E51">
        <v>698</v>
      </c>
      <c r="F51">
        <v>0</v>
      </c>
      <c r="G51">
        <v>2927</v>
      </c>
    </row>
    <row r="52" spans="1:7" x14ac:dyDescent="0.25">
      <c r="A52" t="s">
        <v>68</v>
      </c>
      <c r="B52" t="s">
        <v>19</v>
      </c>
      <c r="C52">
        <v>675</v>
      </c>
      <c r="D52">
        <v>1202</v>
      </c>
      <c r="E52">
        <v>362</v>
      </c>
      <c r="F52">
        <v>0</v>
      </c>
      <c r="G52">
        <v>2239</v>
      </c>
    </row>
    <row r="53" spans="1:7" x14ac:dyDescent="0.25">
      <c r="A53" t="s">
        <v>69</v>
      </c>
      <c r="B53" t="s">
        <v>19</v>
      </c>
      <c r="C53">
        <v>1281</v>
      </c>
      <c r="D53">
        <v>356</v>
      </c>
      <c r="E53">
        <v>467</v>
      </c>
      <c r="F53">
        <v>0</v>
      </c>
      <c r="G53">
        <v>2104</v>
      </c>
    </row>
    <row r="54" spans="1:7" x14ac:dyDescent="0.25">
      <c r="A54" t="s">
        <v>70</v>
      </c>
      <c r="B54" t="s">
        <v>19</v>
      </c>
      <c r="C54">
        <v>874</v>
      </c>
      <c r="D54">
        <v>250</v>
      </c>
      <c r="E54">
        <v>127</v>
      </c>
      <c r="F54">
        <v>-1</v>
      </c>
      <c r="G54">
        <v>1250</v>
      </c>
    </row>
    <row r="55" spans="1:7" x14ac:dyDescent="0.25">
      <c r="A55" t="s">
        <v>4</v>
      </c>
      <c r="B55" t="s">
        <v>19</v>
      </c>
      <c r="C55">
        <v>1</v>
      </c>
      <c r="D55">
        <v>0</v>
      </c>
      <c r="E55">
        <v>0</v>
      </c>
      <c r="F55">
        <v>-1</v>
      </c>
      <c r="G55">
        <v>0</v>
      </c>
    </row>
    <row r="56" spans="1:7" x14ac:dyDescent="0.25">
      <c r="A56" t="s">
        <v>63</v>
      </c>
      <c r="B56" t="s">
        <v>19</v>
      </c>
      <c r="C56">
        <v>-206</v>
      </c>
      <c r="D56">
        <v>-175</v>
      </c>
      <c r="E56">
        <v>-64</v>
      </c>
      <c r="F56">
        <v>0</v>
      </c>
      <c r="G56">
        <v>-445</v>
      </c>
    </row>
    <row r="57" spans="1:7" x14ac:dyDescent="0.25">
      <c r="A57" t="s">
        <v>5</v>
      </c>
      <c r="B57" t="s">
        <v>19</v>
      </c>
      <c r="C57">
        <v>4142</v>
      </c>
      <c r="D57">
        <v>2345</v>
      </c>
      <c r="E57">
        <v>1590</v>
      </c>
      <c r="F57">
        <v>-2</v>
      </c>
      <c r="G57">
        <v>8075</v>
      </c>
    </row>
    <row r="58" spans="1:7" x14ac:dyDescent="0.25">
      <c r="A58" t="s">
        <v>67</v>
      </c>
      <c r="B58" t="s">
        <v>20</v>
      </c>
      <c r="C58">
        <v>1491</v>
      </c>
      <c r="D58">
        <v>687</v>
      </c>
      <c r="E58">
        <v>637</v>
      </c>
      <c r="F58">
        <v>-4</v>
      </c>
      <c r="G58">
        <v>2811</v>
      </c>
    </row>
    <row r="59" spans="1:7" x14ac:dyDescent="0.25">
      <c r="A59" t="s">
        <v>68</v>
      </c>
      <c r="B59" t="s">
        <v>20</v>
      </c>
      <c r="C59">
        <v>646</v>
      </c>
      <c r="D59">
        <v>1311</v>
      </c>
      <c r="E59">
        <v>334</v>
      </c>
      <c r="F59">
        <v>-1</v>
      </c>
      <c r="G59">
        <v>2290</v>
      </c>
    </row>
    <row r="60" spans="1:7" x14ac:dyDescent="0.25">
      <c r="A60" t="s">
        <v>69</v>
      </c>
      <c r="B60" t="s">
        <v>20</v>
      </c>
      <c r="C60">
        <v>1285</v>
      </c>
      <c r="D60">
        <v>369</v>
      </c>
      <c r="E60">
        <v>490</v>
      </c>
      <c r="F60">
        <v>-3</v>
      </c>
      <c r="G60">
        <v>2141</v>
      </c>
    </row>
    <row r="61" spans="1:7" x14ac:dyDescent="0.25">
      <c r="A61" t="s">
        <v>70</v>
      </c>
      <c r="B61" t="s">
        <v>20</v>
      </c>
      <c r="C61">
        <v>898</v>
      </c>
      <c r="D61">
        <v>239</v>
      </c>
      <c r="E61">
        <v>132</v>
      </c>
      <c r="F61">
        <v>-1</v>
      </c>
      <c r="G61">
        <v>1268</v>
      </c>
    </row>
    <row r="62" spans="1:7" x14ac:dyDescent="0.25">
      <c r="A62" t="s">
        <v>4</v>
      </c>
      <c r="B62" t="s">
        <v>20</v>
      </c>
      <c r="C62">
        <v>12</v>
      </c>
      <c r="D62">
        <v>-1</v>
      </c>
      <c r="E62">
        <v>0</v>
      </c>
      <c r="F62">
        <v>1</v>
      </c>
      <c r="G62">
        <v>12</v>
      </c>
    </row>
    <row r="63" spans="1:7" x14ac:dyDescent="0.25">
      <c r="A63" t="s">
        <v>63</v>
      </c>
      <c r="B63" t="s">
        <v>20</v>
      </c>
      <c r="C63">
        <v>-170</v>
      </c>
      <c r="D63">
        <v>-192</v>
      </c>
      <c r="E63">
        <v>-49</v>
      </c>
      <c r="F63">
        <v>0</v>
      </c>
      <c r="G63">
        <v>-411</v>
      </c>
    </row>
    <row r="64" spans="1:7" x14ac:dyDescent="0.25">
      <c r="A64" t="s">
        <v>5</v>
      </c>
      <c r="B64" t="s">
        <v>20</v>
      </c>
      <c r="C64">
        <v>4162</v>
      </c>
      <c r="D64">
        <v>2413</v>
      </c>
      <c r="E64">
        <v>1544</v>
      </c>
      <c r="F64">
        <v>-8</v>
      </c>
      <c r="G64">
        <v>8111</v>
      </c>
    </row>
    <row r="65" spans="1:16" x14ac:dyDescent="0.25">
      <c r="A65" t="s">
        <v>67</v>
      </c>
      <c r="B65" t="s">
        <v>21</v>
      </c>
      <c r="C65">
        <v>1509</v>
      </c>
      <c r="D65">
        <v>713</v>
      </c>
      <c r="E65">
        <v>626</v>
      </c>
      <c r="F65">
        <v>1</v>
      </c>
      <c r="G65">
        <v>2849</v>
      </c>
    </row>
    <row r="66" spans="1:16" x14ac:dyDescent="0.25">
      <c r="A66" t="s">
        <v>68</v>
      </c>
      <c r="B66" t="s">
        <v>21</v>
      </c>
      <c r="C66">
        <v>751</v>
      </c>
      <c r="D66">
        <v>1390</v>
      </c>
      <c r="E66">
        <v>363</v>
      </c>
      <c r="F66">
        <v>-1</v>
      </c>
      <c r="G66">
        <v>2503</v>
      </c>
    </row>
    <row r="67" spans="1:16" x14ac:dyDescent="0.25">
      <c r="A67" t="s">
        <v>69</v>
      </c>
      <c r="B67" t="s">
        <v>21</v>
      </c>
      <c r="C67">
        <v>972</v>
      </c>
      <c r="D67">
        <v>360</v>
      </c>
      <c r="E67">
        <v>388</v>
      </c>
      <c r="F67">
        <v>1</v>
      </c>
      <c r="G67">
        <v>1721</v>
      </c>
    </row>
    <row r="68" spans="1:16" x14ac:dyDescent="0.25">
      <c r="A68" t="s">
        <v>70</v>
      </c>
      <c r="B68" t="s">
        <v>21</v>
      </c>
      <c r="C68">
        <v>955</v>
      </c>
      <c r="D68">
        <v>233</v>
      </c>
      <c r="E68">
        <v>136</v>
      </c>
      <c r="F68">
        <v>0</v>
      </c>
      <c r="G68">
        <v>1324</v>
      </c>
    </row>
    <row r="69" spans="1:16" x14ac:dyDescent="0.25">
      <c r="A69" t="s">
        <v>4</v>
      </c>
      <c r="B69" t="s">
        <v>21</v>
      </c>
      <c r="C69">
        <v>26</v>
      </c>
      <c r="D69">
        <v>1</v>
      </c>
      <c r="E69">
        <v>1</v>
      </c>
      <c r="F69">
        <v>0</v>
      </c>
      <c r="G69">
        <v>28</v>
      </c>
    </row>
    <row r="70" spans="1:16" x14ac:dyDescent="0.25">
      <c r="A70" t="s">
        <v>63</v>
      </c>
      <c r="B70" t="s">
        <v>21</v>
      </c>
      <c r="C70">
        <v>-177</v>
      </c>
      <c r="D70">
        <v>-207</v>
      </c>
      <c r="E70">
        <v>-49</v>
      </c>
      <c r="F70">
        <v>-1</v>
      </c>
      <c r="G70">
        <v>-434</v>
      </c>
    </row>
    <row r="71" spans="1:16" x14ac:dyDescent="0.25">
      <c r="A71" t="s">
        <v>5</v>
      </c>
      <c r="B71" t="s">
        <v>21</v>
      </c>
      <c r="C71">
        <v>4036</v>
      </c>
      <c r="D71">
        <v>2490</v>
      </c>
      <c r="E71">
        <v>1465</v>
      </c>
      <c r="F71">
        <v>0</v>
      </c>
      <c r="G71">
        <v>7991</v>
      </c>
    </row>
    <row r="72" spans="1:16" x14ac:dyDescent="0.25">
      <c r="A72" t="s">
        <v>67</v>
      </c>
      <c r="B72" t="s">
        <v>22</v>
      </c>
      <c r="C72">
        <v>1564</v>
      </c>
      <c r="D72">
        <v>709</v>
      </c>
      <c r="E72">
        <v>689</v>
      </c>
      <c r="F72">
        <v>-1</v>
      </c>
      <c r="G72">
        <v>2961</v>
      </c>
    </row>
    <row r="73" spans="1:16" x14ac:dyDescent="0.25">
      <c r="A73" t="s">
        <v>68</v>
      </c>
      <c r="B73" t="s">
        <v>22</v>
      </c>
      <c r="C73">
        <v>795</v>
      </c>
      <c r="D73">
        <v>1269</v>
      </c>
      <c r="E73">
        <v>389</v>
      </c>
      <c r="F73">
        <v>-1</v>
      </c>
      <c r="G73">
        <v>2452</v>
      </c>
    </row>
    <row r="74" spans="1:16" x14ac:dyDescent="0.25">
      <c r="A74" t="s">
        <v>69</v>
      </c>
      <c r="B74" t="s">
        <v>22</v>
      </c>
      <c r="C74">
        <v>1021</v>
      </c>
      <c r="D74">
        <v>383</v>
      </c>
      <c r="E74">
        <v>427</v>
      </c>
      <c r="F74">
        <v>0</v>
      </c>
      <c r="G74">
        <v>1831</v>
      </c>
    </row>
    <row r="75" spans="1:16" x14ac:dyDescent="0.25">
      <c r="A75" t="s">
        <v>70</v>
      </c>
      <c r="B75" t="s">
        <v>22</v>
      </c>
      <c r="C75">
        <v>921</v>
      </c>
      <c r="D75">
        <v>242</v>
      </c>
      <c r="E75">
        <v>140</v>
      </c>
      <c r="F75">
        <v>0</v>
      </c>
      <c r="G75">
        <v>1303</v>
      </c>
    </row>
    <row r="76" spans="1:16" x14ac:dyDescent="0.25">
      <c r="A76" t="s">
        <v>4</v>
      </c>
      <c r="B76" t="s">
        <v>22</v>
      </c>
      <c r="C76">
        <v>50</v>
      </c>
      <c r="D76">
        <v>-2</v>
      </c>
      <c r="E76">
        <v>-1</v>
      </c>
      <c r="F76">
        <v>1</v>
      </c>
      <c r="G76">
        <v>48</v>
      </c>
    </row>
    <row r="77" spans="1:16" x14ac:dyDescent="0.25">
      <c r="A77" t="s">
        <v>63</v>
      </c>
      <c r="B77" t="s">
        <v>22</v>
      </c>
      <c r="C77">
        <v>-188</v>
      </c>
      <c r="D77">
        <v>-186</v>
      </c>
      <c r="E77">
        <v>-51</v>
      </c>
      <c r="F77">
        <v>1</v>
      </c>
      <c r="G77">
        <v>-424</v>
      </c>
      <c r="H77" s="23"/>
      <c r="I77" s="23"/>
      <c r="J77" s="23"/>
      <c r="K77" s="23"/>
      <c r="L77" s="23"/>
      <c r="M77" s="23"/>
      <c r="N77" s="23"/>
      <c r="O77" s="23"/>
      <c r="P77" s="23"/>
    </row>
    <row r="78" spans="1:16" x14ac:dyDescent="0.25">
      <c r="A78" t="s">
        <v>5</v>
      </c>
      <c r="B78" t="s">
        <v>22</v>
      </c>
      <c r="C78">
        <v>4163</v>
      </c>
      <c r="D78">
        <v>2415</v>
      </c>
      <c r="E78">
        <v>1593</v>
      </c>
      <c r="F78">
        <v>0</v>
      </c>
      <c r="G78">
        <v>8171</v>
      </c>
      <c r="H78" s="23"/>
      <c r="I78" s="23"/>
      <c r="J78" s="23"/>
      <c r="K78" s="23"/>
      <c r="L78" s="23"/>
      <c r="M78" s="23"/>
      <c r="N78" s="23"/>
      <c r="O78" s="23"/>
      <c r="P78" s="23"/>
    </row>
    <row r="79" spans="1:16" x14ac:dyDescent="0.25">
      <c r="A79" t="s">
        <v>67</v>
      </c>
      <c r="B79" t="s">
        <v>23</v>
      </c>
      <c r="C79">
        <v>1498</v>
      </c>
      <c r="D79">
        <v>768</v>
      </c>
      <c r="E79">
        <v>720</v>
      </c>
      <c r="F79">
        <v>0</v>
      </c>
      <c r="G79">
        <v>2986</v>
      </c>
      <c r="H79" s="23"/>
      <c r="I79" s="23"/>
      <c r="J79" s="23"/>
      <c r="K79" s="23"/>
      <c r="L79" s="23"/>
      <c r="M79" s="23"/>
      <c r="N79" s="23"/>
      <c r="O79" s="23"/>
      <c r="P79" s="23"/>
    </row>
    <row r="80" spans="1:16" x14ac:dyDescent="0.25">
      <c r="A80" t="s">
        <v>68</v>
      </c>
      <c r="B80" t="s">
        <v>23</v>
      </c>
      <c r="C80">
        <v>713</v>
      </c>
      <c r="D80">
        <v>1258</v>
      </c>
      <c r="E80">
        <v>386</v>
      </c>
      <c r="F80">
        <v>0</v>
      </c>
      <c r="G80">
        <v>2357</v>
      </c>
      <c r="H80" s="23"/>
      <c r="I80" s="23"/>
      <c r="J80" s="23"/>
      <c r="K80" s="23"/>
      <c r="L80" s="23"/>
      <c r="M80" s="23"/>
      <c r="N80" s="23"/>
      <c r="O80" s="23"/>
      <c r="P80" s="23"/>
    </row>
    <row r="81" spans="1:16" x14ac:dyDescent="0.25">
      <c r="A81" t="s">
        <v>69</v>
      </c>
      <c r="B81" t="s">
        <v>23</v>
      </c>
      <c r="C81">
        <v>922</v>
      </c>
      <c r="D81">
        <v>378</v>
      </c>
      <c r="E81">
        <v>438</v>
      </c>
      <c r="F81">
        <v>0</v>
      </c>
      <c r="G81">
        <v>1738</v>
      </c>
      <c r="H81" s="23"/>
      <c r="I81" s="23"/>
      <c r="J81" s="23"/>
      <c r="K81" s="23"/>
      <c r="L81" s="23"/>
      <c r="M81" s="23"/>
      <c r="N81" s="23"/>
      <c r="O81" s="23"/>
      <c r="P81" s="23"/>
    </row>
    <row r="82" spans="1:16" x14ac:dyDescent="0.25">
      <c r="A82" t="s">
        <v>70</v>
      </c>
      <c r="B82" t="s">
        <v>23</v>
      </c>
      <c r="C82">
        <v>787</v>
      </c>
      <c r="D82">
        <v>270</v>
      </c>
      <c r="E82">
        <v>137</v>
      </c>
      <c r="F82">
        <v>0</v>
      </c>
      <c r="G82">
        <v>1194</v>
      </c>
      <c r="H82" s="23"/>
      <c r="I82" s="23"/>
      <c r="J82" s="23"/>
      <c r="K82" s="23"/>
      <c r="L82" s="23"/>
      <c r="M82" s="23"/>
      <c r="N82" s="23"/>
      <c r="O82" s="23"/>
      <c r="P82" s="23"/>
    </row>
    <row r="83" spans="1:16" x14ac:dyDescent="0.25">
      <c r="A83" t="s">
        <v>4</v>
      </c>
      <c r="B83" t="s">
        <v>23</v>
      </c>
      <c r="C83">
        <v>21</v>
      </c>
      <c r="D83">
        <v>2</v>
      </c>
      <c r="E83">
        <v>1</v>
      </c>
      <c r="F83">
        <v>-2</v>
      </c>
      <c r="G83">
        <v>22</v>
      </c>
      <c r="H83" s="23"/>
      <c r="I83" s="23"/>
      <c r="J83" s="23"/>
      <c r="K83" s="23"/>
      <c r="L83" s="23"/>
      <c r="M83" s="23"/>
      <c r="N83" s="23"/>
      <c r="O83" s="23"/>
      <c r="P83" s="23"/>
    </row>
    <row r="84" spans="1:16" x14ac:dyDescent="0.25">
      <c r="A84" t="s">
        <v>63</v>
      </c>
      <c r="B84" t="s">
        <v>23</v>
      </c>
      <c r="C84">
        <v>-178</v>
      </c>
      <c r="D84">
        <v>-198</v>
      </c>
      <c r="E84">
        <v>-58</v>
      </c>
      <c r="F84">
        <v>0</v>
      </c>
      <c r="G84">
        <v>-434</v>
      </c>
      <c r="H84" s="23"/>
      <c r="I84" s="23"/>
      <c r="J84" s="23"/>
      <c r="K84" s="23"/>
      <c r="L84" s="23"/>
      <c r="M84" s="23"/>
      <c r="N84" s="23"/>
      <c r="O84" s="23"/>
      <c r="P84" s="23"/>
    </row>
    <row r="85" spans="1:16" x14ac:dyDescent="0.25">
      <c r="A85" t="s">
        <v>5</v>
      </c>
      <c r="B85" t="s">
        <v>23</v>
      </c>
      <c r="C85">
        <v>3763</v>
      </c>
      <c r="D85">
        <v>2478</v>
      </c>
      <c r="E85">
        <v>1624</v>
      </c>
      <c r="F85">
        <v>-2</v>
      </c>
      <c r="G85">
        <v>7863</v>
      </c>
      <c r="H85" s="23"/>
      <c r="I85" s="23"/>
      <c r="J85" s="23"/>
      <c r="K85" s="7"/>
      <c r="L85" s="7"/>
      <c r="M85" s="7"/>
      <c r="N85" s="7"/>
      <c r="O85" s="23"/>
      <c r="P85" s="23"/>
    </row>
    <row r="86" spans="1:16" x14ac:dyDescent="0.25">
      <c r="A86" t="s">
        <v>67</v>
      </c>
      <c r="B86" t="s">
        <v>24</v>
      </c>
      <c r="C86" s="7">
        <v>1222.7510894627442</v>
      </c>
      <c r="D86" s="7">
        <v>852.01550058918735</v>
      </c>
      <c r="E86" s="7">
        <v>589.98576964352731</v>
      </c>
      <c r="F86" s="7">
        <v>4.1035245309871619E-2</v>
      </c>
      <c r="G86" s="24">
        <v>2664.7933949407688</v>
      </c>
      <c r="H86" s="7"/>
      <c r="I86" s="23"/>
      <c r="J86" s="23"/>
      <c r="K86" s="7"/>
      <c r="L86" s="7"/>
      <c r="M86" s="7"/>
      <c r="N86" s="7"/>
      <c r="O86" s="23"/>
      <c r="P86" s="23"/>
    </row>
    <row r="87" spans="1:16" x14ac:dyDescent="0.25">
      <c r="A87" t="s">
        <v>68</v>
      </c>
      <c r="B87" t="s">
        <v>24</v>
      </c>
      <c r="C87" s="7">
        <v>901.43458513776693</v>
      </c>
      <c r="D87" s="7">
        <v>1070.5845325455457</v>
      </c>
      <c r="E87" s="7">
        <v>411.19838155656538</v>
      </c>
      <c r="F87" s="7">
        <v>-0.11749923987805176</v>
      </c>
      <c r="G87" s="24">
        <v>2383.1000000000004</v>
      </c>
      <c r="H87" s="7"/>
      <c r="I87" s="23"/>
      <c r="J87" s="23"/>
      <c r="K87" s="7"/>
      <c r="L87" s="7"/>
      <c r="M87" s="7"/>
      <c r="N87" s="7"/>
      <c r="O87" s="23"/>
      <c r="P87" s="23"/>
    </row>
    <row r="88" spans="1:16" x14ac:dyDescent="0.25">
      <c r="A88" t="s">
        <v>69</v>
      </c>
      <c r="B88" t="s">
        <v>24</v>
      </c>
      <c r="C88" s="7">
        <v>945.34227352258586</v>
      </c>
      <c r="D88" s="7">
        <v>326.48879555001918</v>
      </c>
      <c r="E88" s="7">
        <v>411.07698007110633</v>
      </c>
      <c r="F88" s="7">
        <v>1.0410802519864399</v>
      </c>
      <c r="G88" s="24">
        <v>1683.949129395698</v>
      </c>
      <c r="H88" s="7"/>
      <c r="I88" s="23"/>
      <c r="J88" s="23"/>
      <c r="K88" s="7"/>
      <c r="L88" s="7"/>
      <c r="M88" s="7"/>
      <c r="N88" s="7"/>
      <c r="O88" s="23"/>
      <c r="P88" s="23"/>
    </row>
    <row r="89" spans="1:16" x14ac:dyDescent="0.25">
      <c r="A89" t="s">
        <v>70</v>
      </c>
      <c r="B89" t="s">
        <v>24</v>
      </c>
      <c r="C89" s="7">
        <v>963.43600330305526</v>
      </c>
      <c r="D89" s="7">
        <v>262.65235342691989</v>
      </c>
      <c r="E89" s="7">
        <v>143.7795210569777</v>
      </c>
      <c r="F89" s="7">
        <v>1.1321222130470685</v>
      </c>
      <c r="G89" s="24">
        <v>1371</v>
      </c>
      <c r="H89" s="7"/>
      <c r="I89" s="23"/>
      <c r="J89" s="23"/>
      <c r="K89" s="7"/>
      <c r="L89" s="7"/>
      <c r="M89" s="7"/>
      <c r="N89" s="7"/>
      <c r="O89" s="23"/>
      <c r="P89" s="23"/>
    </row>
    <row r="90" spans="1:16" x14ac:dyDescent="0.25">
      <c r="A90" t="s">
        <v>4</v>
      </c>
      <c r="B90" t="s">
        <v>24</v>
      </c>
      <c r="C90" s="7">
        <v>5</v>
      </c>
      <c r="D90" s="7">
        <v>1</v>
      </c>
      <c r="E90" s="7">
        <v>1</v>
      </c>
      <c r="F90" s="7">
        <v>-4</v>
      </c>
      <c r="G90" s="24">
        <v>3</v>
      </c>
      <c r="H90" s="7"/>
      <c r="I90" s="23"/>
      <c r="J90" s="23"/>
      <c r="K90" s="7"/>
      <c r="L90" s="7"/>
      <c r="M90" s="7"/>
      <c r="N90" s="7"/>
      <c r="O90" s="23"/>
      <c r="P90" s="23"/>
    </row>
    <row r="91" spans="1:16" x14ac:dyDescent="0.25">
      <c r="A91" t="s">
        <v>63</v>
      </c>
      <c r="B91" t="s">
        <v>24</v>
      </c>
      <c r="C91" s="7">
        <v>-76.227515368049666</v>
      </c>
      <c r="D91" s="7">
        <v>-57.972382237837124</v>
      </c>
      <c r="E91" s="7">
        <v>-26.395935742334348</v>
      </c>
      <c r="F91" s="7">
        <v>-0.24669098824611541</v>
      </c>
      <c r="G91" s="24">
        <v>-160.84252433646725</v>
      </c>
      <c r="H91" s="7"/>
      <c r="I91" s="23"/>
      <c r="J91" s="23"/>
      <c r="K91" s="23"/>
      <c r="L91" s="23"/>
      <c r="M91" s="23"/>
      <c r="N91" s="23"/>
      <c r="O91" s="23"/>
      <c r="P91" s="23"/>
    </row>
    <row r="92" spans="1:16" x14ac:dyDescent="0.25">
      <c r="A92" t="s">
        <v>5</v>
      </c>
      <c r="B92" t="s">
        <v>24</v>
      </c>
      <c r="C92" s="24">
        <v>3961.7364360581023</v>
      </c>
      <c r="D92" s="24">
        <v>2454.7687998738347</v>
      </c>
      <c r="E92" s="24">
        <v>1530.6447165858424</v>
      </c>
      <c r="F92" s="24">
        <v>-2.149952517780787</v>
      </c>
      <c r="G92" s="24">
        <v>7945</v>
      </c>
      <c r="H92" s="7"/>
      <c r="I92" s="23"/>
      <c r="J92" s="23"/>
      <c r="K92" s="7"/>
      <c r="L92" s="7"/>
      <c r="M92" s="7"/>
      <c r="N92" s="7"/>
      <c r="O92" s="23"/>
      <c r="P92" s="23"/>
    </row>
    <row r="93" spans="1:16" x14ac:dyDescent="0.25">
      <c r="A93" t="s">
        <v>67</v>
      </c>
      <c r="B93" t="s">
        <v>25</v>
      </c>
      <c r="C93" s="24">
        <v>1380.7638887145063</v>
      </c>
      <c r="D93" s="24">
        <v>1013.905723980665</v>
      </c>
      <c r="E93" s="24">
        <v>628.62465303881993</v>
      </c>
      <c r="F93" s="24">
        <v>-2.2942657339913084</v>
      </c>
      <c r="G93" s="24">
        <v>3021</v>
      </c>
      <c r="H93" s="7"/>
      <c r="I93" s="23"/>
      <c r="J93" s="23"/>
      <c r="K93" s="7"/>
      <c r="L93" s="7"/>
      <c r="M93" s="7"/>
      <c r="N93" s="7"/>
      <c r="O93" s="23"/>
      <c r="P93" s="23"/>
    </row>
    <row r="94" spans="1:16" x14ac:dyDescent="0.25">
      <c r="A94" t="s">
        <v>68</v>
      </c>
      <c r="B94" t="s">
        <v>25</v>
      </c>
      <c r="C94" s="24">
        <v>968.98188647453242</v>
      </c>
      <c r="D94" s="24">
        <v>1229.4078351528769</v>
      </c>
      <c r="E94" s="24">
        <v>421.87696142099912</v>
      </c>
      <c r="F94" s="24">
        <v>-1.266683048408046</v>
      </c>
      <c r="G94" s="24">
        <v>2619</v>
      </c>
      <c r="H94" s="7"/>
      <c r="I94" s="23"/>
      <c r="J94" s="23"/>
      <c r="K94" s="7"/>
      <c r="L94" s="7"/>
      <c r="M94" s="7"/>
      <c r="N94" s="7"/>
      <c r="O94" s="23"/>
      <c r="P94" s="23"/>
    </row>
    <row r="95" spans="1:16" x14ac:dyDescent="0.25">
      <c r="A95" t="s">
        <v>69</v>
      </c>
      <c r="B95" t="s">
        <v>25</v>
      </c>
      <c r="C95" s="24">
        <v>916.81472014480687</v>
      </c>
      <c r="D95" s="24">
        <v>342.83835660122799</v>
      </c>
      <c r="E95" s="24">
        <v>384.54937453464379</v>
      </c>
      <c r="F95" s="24">
        <v>-1.2024512806786671</v>
      </c>
      <c r="G95" s="24">
        <v>1643</v>
      </c>
      <c r="H95" s="7"/>
      <c r="I95" s="23"/>
      <c r="J95" s="23"/>
      <c r="K95" s="7"/>
      <c r="L95" s="7"/>
      <c r="M95" s="7"/>
      <c r="N95" s="7"/>
      <c r="O95" s="23"/>
      <c r="P95" s="23"/>
    </row>
    <row r="96" spans="1:16" x14ac:dyDescent="0.25">
      <c r="A96" t="s">
        <v>70</v>
      </c>
      <c r="B96" t="s">
        <v>25</v>
      </c>
      <c r="C96" s="24">
        <v>934.06639676113355</v>
      </c>
      <c r="D96" s="24">
        <v>232.98947368421051</v>
      </c>
      <c r="E96" s="24">
        <v>135.99838056680161</v>
      </c>
      <c r="F96" s="24">
        <v>-1.0542510121457489</v>
      </c>
      <c r="G96" s="24">
        <v>1302</v>
      </c>
      <c r="H96" s="7"/>
      <c r="I96" s="23"/>
      <c r="J96" s="23"/>
      <c r="K96" s="23"/>
      <c r="L96" s="23"/>
      <c r="M96" s="23"/>
      <c r="N96" s="23"/>
      <c r="O96" s="23"/>
      <c r="P96" s="23"/>
    </row>
    <row r="97" spans="1:14" x14ac:dyDescent="0.25">
      <c r="A97" t="s">
        <v>4</v>
      </c>
      <c r="B97" t="s">
        <v>25</v>
      </c>
      <c r="C97" s="24">
        <v>34</v>
      </c>
      <c r="D97" s="24">
        <v>-1</v>
      </c>
      <c r="E97" s="24">
        <v>-2</v>
      </c>
      <c r="F97" s="24">
        <v>4</v>
      </c>
      <c r="G97" s="24">
        <v>35</v>
      </c>
      <c r="H97" s="7"/>
      <c r="I97" s="23"/>
    </row>
    <row r="98" spans="1:14" x14ac:dyDescent="0.25">
      <c r="A98" t="s">
        <v>63</v>
      </c>
      <c r="B98" t="s">
        <v>25</v>
      </c>
      <c r="C98" s="24">
        <v>-218.03773584905659</v>
      </c>
      <c r="D98" s="24">
        <v>-182.71698113207546</v>
      </c>
      <c r="E98" s="24">
        <v>-67.245283018867923</v>
      </c>
      <c r="F98" s="24">
        <v>0</v>
      </c>
      <c r="G98" s="24">
        <v>-468</v>
      </c>
      <c r="H98" s="7"/>
      <c r="I98" s="23"/>
    </row>
    <row r="99" spans="1:14" x14ac:dyDescent="0.25">
      <c r="A99" t="s">
        <v>5</v>
      </c>
      <c r="B99" t="s">
        <v>25</v>
      </c>
      <c r="C99" s="24">
        <v>4016.5891562459224</v>
      </c>
      <c r="D99" s="24">
        <v>2635.4244082869054</v>
      </c>
      <c r="E99" s="24">
        <v>1501.8040865423966</v>
      </c>
      <c r="F99" s="24">
        <v>-1.8176510752237709</v>
      </c>
      <c r="G99" s="24">
        <v>8152</v>
      </c>
      <c r="H99" s="7"/>
      <c r="I99" s="23"/>
      <c r="K99" s="24"/>
      <c r="L99" s="24"/>
      <c r="M99" s="24"/>
      <c r="N99" s="24"/>
    </row>
    <row r="100" spans="1:14" x14ac:dyDescent="0.25">
      <c r="A100" t="s">
        <v>67</v>
      </c>
      <c r="B100" t="s">
        <v>26</v>
      </c>
      <c r="C100" s="24">
        <v>1514.9151917269512</v>
      </c>
      <c r="D100" s="24">
        <v>988.14351583995301</v>
      </c>
      <c r="E100" s="24">
        <v>749.33772339349036</v>
      </c>
      <c r="F100" s="24">
        <v>0.60356903960508013</v>
      </c>
      <c r="G100" s="24">
        <v>3253</v>
      </c>
      <c r="H100" s="7"/>
      <c r="I100" s="23"/>
      <c r="K100" s="24"/>
      <c r="L100" s="24"/>
      <c r="M100" s="24"/>
      <c r="N100" s="24"/>
    </row>
    <row r="101" spans="1:14" x14ac:dyDescent="0.25">
      <c r="A101" t="s">
        <v>68</v>
      </c>
      <c r="B101" t="s">
        <v>26</v>
      </c>
      <c r="C101" s="24">
        <v>1002.9063345526331</v>
      </c>
      <c r="D101" s="24">
        <v>1044.1451121562252</v>
      </c>
      <c r="E101" s="24">
        <v>479.67467146644998</v>
      </c>
      <c r="F101" s="24">
        <v>0.27388182469178812</v>
      </c>
      <c r="G101" s="24">
        <v>2527</v>
      </c>
      <c r="H101" s="7"/>
      <c r="I101" s="23"/>
      <c r="K101" s="24"/>
      <c r="L101" s="24"/>
      <c r="M101" s="24"/>
      <c r="N101" s="24"/>
    </row>
    <row r="102" spans="1:14" x14ac:dyDescent="0.25">
      <c r="A102" t="s">
        <v>69</v>
      </c>
      <c r="B102" t="s">
        <v>26</v>
      </c>
      <c r="C102" s="24">
        <v>946.64942041675044</v>
      </c>
      <c r="D102" s="24">
        <v>351.50062663975933</v>
      </c>
      <c r="E102" s="24">
        <v>432.76629653561071</v>
      </c>
      <c r="F102" s="24">
        <v>-0.91634359212072669</v>
      </c>
      <c r="G102" s="24">
        <v>1730</v>
      </c>
      <c r="H102" s="7"/>
      <c r="I102" s="23"/>
      <c r="K102" s="24"/>
      <c r="L102" s="24"/>
      <c r="M102" s="24"/>
      <c r="N102" s="24"/>
    </row>
    <row r="103" spans="1:14" x14ac:dyDescent="0.25">
      <c r="A103" t="s">
        <v>70</v>
      </c>
      <c r="B103" t="s">
        <v>26</v>
      </c>
      <c r="C103" s="24">
        <v>906.56009811937861</v>
      </c>
      <c r="D103" s="24">
        <v>252.59525756336879</v>
      </c>
      <c r="E103" s="24">
        <v>147.70400654129193</v>
      </c>
      <c r="F103" s="24">
        <v>2.1406377759607524</v>
      </c>
      <c r="G103" s="24">
        <v>1309</v>
      </c>
      <c r="H103" s="7"/>
      <c r="I103" s="23"/>
    </row>
    <row r="104" spans="1:14" x14ac:dyDescent="0.25">
      <c r="A104" t="s">
        <v>4</v>
      </c>
      <c r="B104" t="s">
        <v>26</v>
      </c>
      <c r="C104" s="24">
        <v>12</v>
      </c>
      <c r="D104" s="24">
        <v>1</v>
      </c>
      <c r="E104" s="24">
        <v>1</v>
      </c>
      <c r="F104" s="24">
        <v>-2</v>
      </c>
      <c r="G104" s="24">
        <v>12</v>
      </c>
      <c r="H104" s="7"/>
      <c r="I104" s="23"/>
    </row>
    <row r="105" spans="1:14" x14ac:dyDescent="0.25">
      <c r="A105" t="s">
        <v>63</v>
      </c>
      <c r="B105" t="s">
        <v>26</v>
      </c>
      <c r="C105" s="24">
        <v>-224.14736842105262</v>
      </c>
      <c r="D105" s="24">
        <v>-141.25263157894736</v>
      </c>
      <c r="E105" s="24">
        <v>-74.936842105263153</v>
      </c>
      <c r="F105" s="24">
        <v>-0.66315789473684206</v>
      </c>
      <c r="G105" s="24">
        <v>-441</v>
      </c>
      <c r="H105" s="7"/>
      <c r="I105" s="23"/>
    </row>
    <row r="106" spans="1:14" x14ac:dyDescent="0.25">
      <c r="A106" t="s">
        <v>5</v>
      </c>
      <c r="B106" t="s">
        <v>26</v>
      </c>
      <c r="C106" s="24">
        <v>4158.8836763946611</v>
      </c>
      <c r="D106" s="24">
        <v>2496.131880620359</v>
      </c>
      <c r="E106" s="24">
        <v>1735.5458558315797</v>
      </c>
      <c r="F106" s="24">
        <v>-0.56141284659994828</v>
      </c>
      <c r="G106" s="24">
        <v>8390</v>
      </c>
      <c r="H106" s="7"/>
      <c r="I106" s="23"/>
      <c r="K106" s="24"/>
      <c r="L106" s="24"/>
      <c r="M106" s="24"/>
      <c r="N106" s="24"/>
    </row>
    <row r="107" spans="1:14" x14ac:dyDescent="0.25">
      <c r="A107" t="s">
        <v>67</v>
      </c>
      <c r="B107" t="s">
        <v>27</v>
      </c>
      <c r="C107" s="24">
        <v>1507.4745492889597</v>
      </c>
      <c r="D107" s="24">
        <v>1159.1088568563273</v>
      </c>
      <c r="E107" s="24">
        <v>809.5455097929015</v>
      </c>
      <c r="F107" s="24">
        <v>-0.92231087895736008</v>
      </c>
      <c r="G107" s="24">
        <v>3475.2066050592312</v>
      </c>
      <c r="H107" s="28"/>
      <c r="I107" s="23"/>
      <c r="K107" s="24"/>
      <c r="L107" s="24"/>
      <c r="M107" s="24"/>
      <c r="N107" s="24"/>
    </row>
    <row r="108" spans="1:14" x14ac:dyDescent="0.25">
      <c r="A108" t="s">
        <v>68</v>
      </c>
      <c r="B108" t="s">
        <v>27</v>
      </c>
      <c r="C108" s="24">
        <v>950.30944583601536</v>
      </c>
      <c r="D108" s="24">
        <v>1126.3477735729077</v>
      </c>
      <c r="E108" s="24">
        <v>499.25116710998759</v>
      </c>
      <c r="F108" s="24">
        <v>-1.0083865189102839</v>
      </c>
      <c r="G108" s="24">
        <v>2574.9</v>
      </c>
      <c r="H108" s="28"/>
      <c r="I108" s="23"/>
      <c r="K108" s="24"/>
      <c r="L108" s="24"/>
      <c r="M108" s="24"/>
      <c r="N108" s="24"/>
    </row>
    <row r="109" spans="1:14" x14ac:dyDescent="0.25">
      <c r="A109" t="s">
        <v>69</v>
      </c>
      <c r="B109" t="s">
        <v>27</v>
      </c>
      <c r="C109" s="24">
        <v>945.56798188895038</v>
      </c>
      <c r="D109" s="24">
        <v>367.62554636642039</v>
      </c>
      <c r="E109" s="24">
        <v>450.93033624004528</v>
      </c>
      <c r="F109" s="24">
        <v>-7.2993891114305487E-2</v>
      </c>
      <c r="G109" s="24">
        <v>1764.0508706043017</v>
      </c>
      <c r="H109" s="28"/>
      <c r="I109" s="23"/>
      <c r="K109" s="24"/>
      <c r="L109" s="24"/>
      <c r="M109" s="24"/>
      <c r="N109" s="24"/>
    </row>
    <row r="110" spans="1:14" x14ac:dyDescent="0.25">
      <c r="A110" t="s">
        <v>70</v>
      </c>
      <c r="B110" t="s">
        <v>27</v>
      </c>
      <c r="C110" s="24">
        <v>727.435669920142</v>
      </c>
      <c r="D110" s="24">
        <v>276.34427684117122</v>
      </c>
      <c r="E110" s="24">
        <v>143.25199645075421</v>
      </c>
      <c r="F110" s="24">
        <v>-2.0319432120674357</v>
      </c>
      <c r="G110" s="24">
        <v>1145</v>
      </c>
      <c r="H110" s="28"/>
      <c r="I110" s="23"/>
    </row>
    <row r="111" spans="1:14" x14ac:dyDescent="0.25">
      <c r="A111" t="s">
        <v>4</v>
      </c>
      <c r="B111" t="s">
        <v>27</v>
      </c>
      <c r="C111" s="24">
        <v>-1</v>
      </c>
      <c r="D111" s="24">
        <v>-1</v>
      </c>
      <c r="E111" s="24">
        <v>0</v>
      </c>
      <c r="F111" s="24">
        <v>2</v>
      </c>
      <c r="G111" s="24">
        <v>0</v>
      </c>
      <c r="H111" s="28"/>
      <c r="I111" s="23"/>
    </row>
    <row r="112" spans="1:14" x14ac:dyDescent="0.25">
      <c r="A112" t="s">
        <v>63</v>
      </c>
      <c r="B112" t="s">
        <v>27</v>
      </c>
      <c r="C112" s="24">
        <v>-316.91314577699109</v>
      </c>
      <c r="D112" s="24">
        <v>-253.11894110759675</v>
      </c>
      <c r="E112" s="24">
        <v>-112.15432756393515</v>
      </c>
      <c r="F112" s="24">
        <v>1.0289387849902307</v>
      </c>
      <c r="G112" s="24">
        <v>-681.15747566353275</v>
      </c>
      <c r="H112" s="28"/>
      <c r="I112" s="23"/>
    </row>
    <row r="113" spans="1:17" x14ac:dyDescent="0.25">
      <c r="A113" t="s">
        <v>5</v>
      </c>
      <c r="B113" t="s">
        <v>27</v>
      </c>
      <c r="C113" s="24">
        <v>3812.8745011570763</v>
      </c>
      <c r="D113" s="24">
        <v>2675.3075125292298</v>
      </c>
      <c r="E113" s="24">
        <v>1790.8246820297534</v>
      </c>
      <c r="F113" s="24">
        <v>-1.0057176372911674</v>
      </c>
      <c r="G113" s="24">
        <v>8278</v>
      </c>
      <c r="H113" s="28"/>
      <c r="I113" s="23"/>
      <c r="K113" s="24"/>
      <c r="L113" s="24"/>
      <c r="M113" s="24"/>
      <c r="N113" s="24"/>
    </row>
    <row r="114" spans="1:17" x14ac:dyDescent="0.25">
      <c r="A114" t="s">
        <v>67</v>
      </c>
      <c r="B114" t="s">
        <v>28</v>
      </c>
      <c r="C114" s="24">
        <v>1452.6843354344128</v>
      </c>
      <c r="D114" s="24">
        <v>1051.1998766321142</v>
      </c>
      <c r="E114" s="24">
        <v>747.66041296682556</v>
      </c>
      <c r="F114" s="24">
        <v>-2.6740795464652232</v>
      </c>
      <c r="G114" s="24">
        <v>3248.8705454868873</v>
      </c>
      <c r="H114" s="7"/>
      <c r="I114" s="23"/>
      <c r="K114" s="24"/>
      <c r="L114" s="24"/>
      <c r="M114" s="24"/>
      <c r="N114" s="24"/>
    </row>
    <row r="115" spans="1:17" x14ac:dyDescent="0.25">
      <c r="A115" t="s">
        <v>68</v>
      </c>
      <c r="B115" t="s">
        <v>28</v>
      </c>
      <c r="C115" s="24">
        <v>921.33999999999992</v>
      </c>
      <c r="D115" s="24">
        <v>1091.9999999999998</v>
      </c>
      <c r="E115" s="24">
        <v>470.65999999999991</v>
      </c>
      <c r="F115" s="24">
        <v>-3.2699999999999991</v>
      </c>
      <c r="G115" s="24">
        <v>2480.7299999999996</v>
      </c>
      <c r="H115" s="7"/>
      <c r="I115" s="23"/>
      <c r="K115" s="24"/>
      <c r="L115" s="24"/>
      <c r="M115" s="24"/>
      <c r="N115" s="24"/>
    </row>
    <row r="116" spans="1:17" x14ac:dyDescent="0.25">
      <c r="A116" t="s">
        <v>69</v>
      </c>
      <c r="B116" t="s">
        <v>28</v>
      </c>
      <c r="C116" s="24">
        <v>955.26459542505972</v>
      </c>
      <c r="D116" s="24">
        <v>319.7606691703653</v>
      </c>
      <c r="E116" s="24">
        <v>425.38579720040968</v>
      </c>
      <c r="F116" s="24">
        <v>-7.3062478661659269E-2</v>
      </c>
      <c r="G116" s="24">
        <v>1700.3379993171732</v>
      </c>
      <c r="H116" s="7"/>
      <c r="I116" s="23"/>
      <c r="K116" s="24"/>
      <c r="L116" s="24"/>
      <c r="M116" s="24"/>
      <c r="N116" s="24"/>
    </row>
    <row r="117" spans="1:17" x14ac:dyDescent="0.25">
      <c r="A117" t="s">
        <v>70</v>
      </c>
      <c r="B117" t="s">
        <v>28</v>
      </c>
      <c r="C117" s="24">
        <v>818</v>
      </c>
      <c r="D117" s="24">
        <v>251</v>
      </c>
      <c r="E117" s="24">
        <v>143</v>
      </c>
      <c r="F117" s="24">
        <v>-2</v>
      </c>
      <c r="G117" s="24">
        <v>1210</v>
      </c>
      <c r="H117" s="7"/>
      <c r="I117" s="23"/>
    </row>
    <row r="118" spans="1:17" x14ac:dyDescent="0.25">
      <c r="A118" t="s">
        <v>4</v>
      </c>
      <c r="B118" t="s">
        <v>28</v>
      </c>
      <c r="C118" s="24">
        <v>-6</v>
      </c>
      <c r="D118" s="24">
        <v>0</v>
      </c>
      <c r="E118" s="24">
        <v>1</v>
      </c>
      <c r="F118" s="24">
        <v>2</v>
      </c>
      <c r="G118" s="24">
        <v>-3</v>
      </c>
      <c r="H118" s="7"/>
      <c r="I118" s="23"/>
    </row>
    <row r="119" spans="1:17" x14ac:dyDescent="0.25">
      <c r="A119" t="s">
        <v>63</v>
      </c>
      <c r="B119" t="s">
        <v>28</v>
      </c>
      <c r="C119" s="24">
        <v>-306.06744445635087</v>
      </c>
      <c r="D119" s="24">
        <v>-238.50740654959782</v>
      </c>
      <c r="E119" s="24">
        <v>-102.36369379811066</v>
      </c>
      <c r="F119" s="24">
        <v>0</v>
      </c>
      <c r="G119" s="24">
        <v>-646.93854480405935</v>
      </c>
      <c r="H119" s="7"/>
      <c r="I119" s="23"/>
    </row>
    <row r="120" spans="1:17" x14ac:dyDescent="0.25">
      <c r="A120" t="s">
        <v>5</v>
      </c>
      <c r="B120" t="s">
        <v>28</v>
      </c>
      <c r="C120" s="24">
        <v>3835.1185815778977</v>
      </c>
      <c r="D120" s="24">
        <v>2476.3306613801142</v>
      </c>
      <c r="E120" s="24">
        <v>1684.5566700807547</v>
      </c>
      <c r="F120" s="24">
        <v>-6.0059130387665691</v>
      </c>
      <c r="G120" s="24">
        <v>7990</v>
      </c>
      <c r="H120" s="7"/>
      <c r="I120" s="23"/>
    </row>
    <row r="121" spans="1:17" x14ac:dyDescent="0.25">
      <c r="A121" t="s">
        <v>67</v>
      </c>
      <c r="B121" t="s">
        <v>29</v>
      </c>
      <c r="C121" s="24">
        <v>1504.6176639860455</v>
      </c>
      <c r="D121" s="24">
        <v>1103.2441723019015</v>
      </c>
      <c r="E121" s="24">
        <v>705.01702706347157</v>
      </c>
      <c r="F121" s="24">
        <v>-1.8994195971321277</v>
      </c>
      <c r="G121" s="24">
        <v>3310.979443754286</v>
      </c>
      <c r="H121" s="7"/>
      <c r="I121" s="23"/>
    </row>
    <row r="122" spans="1:17" x14ac:dyDescent="0.25">
      <c r="A122" t="s">
        <v>68</v>
      </c>
      <c r="B122" t="s">
        <v>29</v>
      </c>
      <c r="C122" s="24">
        <v>948.48</v>
      </c>
      <c r="D122" s="24">
        <v>1184.81</v>
      </c>
      <c r="E122" s="24">
        <v>440.46000000000004</v>
      </c>
      <c r="F122" s="24">
        <v>-0.96000000000000008</v>
      </c>
      <c r="G122" s="24">
        <v>2572.79</v>
      </c>
      <c r="H122" s="7"/>
      <c r="I122" s="23"/>
    </row>
    <row r="123" spans="1:17" x14ac:dyDescent="0.25">
      <c r="A123" t="s">
        <v>69</v>
      </c>
      <c r="B123" t="s">
        <v>29</v>
      </c>
      <c r="C123" s="24">
        <v>975.3560942301126</v>
      </c>
      <c r="D123" s="24">
        <v>327.51416865824513</v>
      </c>
      <c r="E123" s="24">
        <v>405.1437350631615</v>
      </c>
      <c r="F123" s="24">
        <v>-2.1461249573233188</v>
      </c>
      <c r="G123" s="24">
        <v>1705.867872994196</v>
      </c>
      <c r="H123" s="7"/>
      <c r="I123" s="23"/>
    </row>
    <row r="124" spans="1:17" x14ac:dyDescent="0.25">
      <c r="A124" t="s">
        <v>70</v>
      </c>
      <c r="B124" t="s">
        <v>29</v>
      </c>
      <c r="C124" s="24">
        <v>897</v>
      </c>
      <c r="D124" s="24">
        <v>242</v>
      </c>
      <c r="E124" s="24">
        <v>139</v>
      </c>
      <c r="F124" s="24">
        <v>1</v>
      </c>
      <c r="G124" s="24">
        <v>1279</v>
      </c>
      <c r="H124" s="7"/>
      <c r="I124" s="23"/>
    </row>
    <row r="125" spans="1:17" x14ac:dyDescent="0.25">
      <c r="A125" t="s">
        <v>4</v>
      </c>
      <c r="B125" t="s">
        <v>29</v>
      </c>
      <c r="C125" s="24">
        <v>4</v>
      </c>
      <c r="D125" s="24">
        <v>-1</v>
      </c>
      <c r="E125" s="24">
        <v>0</v>
      </c>
      <c r="F125" s="24">
        <v>0</v>
      </c>
      <c r="G125" s="24">
        <v>3</v>
      </c>
      <c r="H125" s="7"/>
      <c r="I125" s="23"/>
    </row>
    <row r="126" spans="1:17" x14ac:dyDescent="0.25">
      <c r="A126" t="s">
        <v>63</v>
      </c>
      <c r="B126" t="s">
        <v>29</v>
      </c>
      <c r="C126" s="24">
        <v>-324.24711901939867</v>
      </c>
      <c r="D126" s="24">
        <v>-275.14976345810169</v>
      </c>
      <c r="E126" s="24">
        <v>-100.24043427098128</v>
      </c>
      <c r="F126" s="24">
        <v>0</v>
      </c>
      <c r="G126" s="24">
        <v>-699.63731674848168</v>
      </c>
      <c r="H126" s="7"/>
      <c r="I126" s="23"/>
    </row>
    <row r="127" spans="1:17" x14ac:dyDescent="0.25">
      <c r="A127" t="s">
        <v>5</v>
      </c>
      <c r="B127" t="s">
        <v>29</v>
      </c>
      <c r="C127" s="24">
        <v>4004.7904961628283</v>
      </c>
      <c r="D127" s="24">
        <v>2582.6264237512382</v>
      </c>
      <c r="E127" s="24">
        <v>1588.580974574011</v>
      </c>
      <c r="F127" s="24">
        <v>-3.9978944880779261</v>
      </c>
      <c r="G127" s="24">
        <v>8172</v>
      </c>
      <c r="H127" s="7"/>
      <c r="I127" s="23"/>
      <c r="N127" s="24"/>
      <c r="O127" s="24"/>
      <c r="P127" s="24"/>
      <c r="Q127" s="24"/>
    </row>
    <row r="128" spans="1:17" x14ac:dyDescent="0.25">
      <c r="A128" t="s">
        <v>67</v>
      </c>
      <c r="B128" t="s">
        <v>30</v>
      </c>
      <c r="C128" s="24">
        <v>1510.6225671422549</v>
      </c>
      <c r="D128" s="24">
        <v>983.21031498977209</v>
      </c>
      <c r="E128" s="24">
        <v>716.41567575476768</v>
      </c>
      <c r="F128" s="24">
        <v>-0.32449971453245019</v>
      </c>
      <c r="G128" s="24">
        <v>3209.924058172262</v>
      </c>
      <c r="H128" s="7"/>
      <c r="I128" s="23"/>
      <c r="N128" s="24"/>
      <c r="O128" s="24"/>
      <c r="P128" s="24"/>
      <c r="Q128" s="24"/>
    </row>
    <row r="129" spans="1:17" x14ac:dyDescent="0.25">
      <c r="A129" t="s">
        <v>68</v>
      </c>
      <c r="B129" t="s">
        <v>30</v>
      </c>
      <c r="C129" s="24">
        <v>952.44</v>
      </c>
      <c r="D129" s="24">
        <v>998.95</v>
      </c>
      <c r="E129" s="24">
        <v>443.4</v>
      </c>
      <c r="F129" s="24">
        <v>-0.61</v>
      </c>
      <c r="G129" s="24">
        <v>2394.1799999999998</v>
      </c>
      <c r="H129" s="7"/>
      <c r="I129" s="23"/>
      <c r="N129" s="24"/>
      <c r="O129" s="24"/>
      <c r="P129" s="24"/>
      <c r="Q129" s="24"/>
    </row>
    <row r="130" spans="1:17" x14ac:dyDescent="0.25">
      <c r="A130" t="s">
        <v>69</v>
      </c>
      <c r="B130" t="s">
        <v>30</v>
      </c>
      <c r="C130" s="24">
        <v>938.33321952884944</v>
      </c>
      <c r="D130" s="24">
        <v>320.18060771594401</v>
      </c>
      <c r="E130" s="24">
        <v>404.80129737111645</v>
      </c>
      <c r="F130" s="24">
        <v>0.92693752133834073</v>
      </c>
      <c r="G130" s="24">
        <v>1664.2420621372482</v>
      </c>
      <c r="H130" s="7"/>
      <c r="I130" s="23"/>
      <c r="N130" s="24"/>
      <c r="O130" s="24"/>
      <c r="P130" s="24"/>
      <c r="Q130" s="24"/>
    </row>
    <row r="131" spans="1:17" x14ac:dyDescent="0.25">
      <c r="A131" t="s">
        <v>70</v>
      </c>
      <c r="B131" t="s">
        <v>30</v>
      </c>
      <c r="C131" s="24">
        <v>799</v>
      </c>
      <c r="D131" s="24">
        <v>231</v>
      </c>
      <c r="E131" s="24">
        <v>139</v>
      </c>
      <c r="F131" s="24">
        <v>0</v>
      </c>
      <c r="G131" s="24">
        <v>1169</v>
      </c>
      <c r="H131" s="7"/>
      <c r="I131" s="23"/>
    </row>
    <row r="132" spans="1:17" x14ac:dyDescent="0.25">
      <c r="A132" t="s">
        <v>4</v>
      </c>
      <c r="B132" t="s">
        <v>30</v>
      </c>
      <c r="C132" s="24">
        <v>1</v>
      </c>
      <c r="D132" s="24">
        <v>2</v>
      </c>
      <c r="E132" s="24">
        <v>0</v>
      </c>
      <c r="F132" s="24">
        <v>-1</v>
      </c>
      <c r="G132" s="24">
        <v>2</v>
      </c>
      <c r="H132" s="7"/>
      <c r="I132" s="23"/>
    </row>
    <row r="133" spans="1:17" x14ac:dyDescent="0.25">
      <c r="A133" t="s">
        <v>63</v>
      </c>
      <c r="B133" t="s">
        <v>30</v>
      </c>
      <c r="C133" s="24">
        <v>-319.27803176677594</v>
      </c>
      <c r="D133" s="24">
        <v>-211.82869415295713</v>
      </c>
      <c r="E133" s="24">
        <v>-98.239394389777217</v>
      </c>
      <c r="F133" s="24">
        <v>0</v>
      </c>
      <c r="G133" s="24">
        <v>-629.3461203095103</v>
      </c>
      <c r="H133" s="7"/>
      <c r="I133" s="23"/>
    </row>
    <row r="134" spans="1:17" x14ac:dyDescent="0.25">
      <c r="A134" t="s">
        <v>5</v>
      </c>
      <c r="B134" t="s">
        <v>30</v>
      </c>
      <c r="C134" s="24">
        <v>3882.2644891762175</v>
      </c>
      <c r="D134" s="24">
        <v>2324.0718555549174</v>
      </c>
      <c r="E134" s="24">
        <v>1604.6693700733797</v>
      </c>
      <c r="F134" s="24">
        <v>-1.0057148045151554</v>
      </c>
      <c r="G134" s="24">
        <v>7810</v>
      </c>
      <c r="H134" s="7"/>
      <c r="I134" s="23"/>
      <c r="N134" s="24"/>
      <c r="O134" s="24"/>
      <c r="P134" s="24"/>
      <c r="Q134" s="24"/>
    </row>
    <row r="135" spans="1:17" x14ac:dyDescent="0.25">
      <c r="A135" t="s">
        <v>67</v>
      </c>
      <c r="B135" t="s">
        <v>31</v>
      </c>
      <c r="C135" s="24">
        <v>1443.8853057371807</v>
      </c>
      <c r="D135" s="24">
        <v>1046.6486766642472</v>
      </c>
      <c r="E135" s="24">
        <v>702.0929777851735</v>
      </c>
      <c r="F135" s="24">
        <v>-0.3252100840336134</v>
      </c>
      <c r="G135" s="24">
        <v>3192.3017501025679</v>
      </c>
      <c r="H135" s="7"/>
      <c r="I135" s="23"/>
      <c r="N135" s="24"/>
      <c r="O135" s="24"/>
      <c r="P135" s="24"/>
      <c r="Q135" s="24"/>
    </row>
    <row r="136" spans="1:17" x14ac:dyDescent="0.25">
      <c r="A136" t="s">
        <v>68</v>
      </c>
      <c r="B136" t="s">
        <v>31</v>
      </c>
      <c r="C136" s="24">
        <v>912.04</v>
      </c>
      <c r="D136" s="24">
        <v>1032.47</v>
      </c>
      <c r="E136" s="24">
        <v>439.67</v>
      </c>
      <c r="F136" s="24">
        <v>0.32999999999999996</v>
      </c>
      <c r="G136" s="24">
        <v>2384.5099999999998</v>
      </c>
      <c r="H136" s="7"/>
      <c r="I136" s="23"/>
      <c r="N136" s="24"/>
      <c r="O136" s="24"/>
      <c r="P136" s="24"/>
      <c r="Q136" s="24"/>
    </row>
    <row r="137" spans="1:17" x14ac:dyDescent="0.25">
      <c r="A137" t="s">
        <v>69</v>
      </c>
      <c r="B137" t="s">
        <v>31</v>
      </c>
      <c r="C137" s="24">
        <v>924.33765790372138</v>
      </c>
      <c r="D137" s="24">
        <v>322.32229429839538</v>
      </c>
      <c r="E137" s="24">
        <v>403.85148514851483</v>
      </c>
      <c r="F137" s="24">
        <v>-1</v>
      </c>
      <c r="G137" s="24">
        <v>1649.5114373506317</v>
      </c>
      <c r="H137" s="7"/>
      <c r="I137" s="23"/>
      <c r="N137" s="24"/>
      <c r="O137" s="24"/>
      <c r="P137" s="24"/>
      <c r="Q137" s="24"/>
    </row>
    <row r="138" spans="1:17" x14ac:dyDescent="0.25">
      <c r="A138" t="s">
        <v>70</v>
      </c>
      <c r="B138" t="s">
        <v>31</v>
      </c>
      <c r="C138" s="24">
        <v>689</v>
      </c>
      <c r="D138" s="24">
        <v>259</v>
      </c>
      <c r="E138" s="24">
        <v>126</v>
      </c>
      <c r="F138" s="24">
        <v>-1</v>
      </c>
      <c r="G138" s="24">
        <v>1073</v>
      </c>
      <c r="H138" s="7"/>
      <c r="I138" s="23"/>
    </row>
    <row r="139" spans="1:17" x14ac:dyDescent="0.25">
      <c r="A139" t="s">
        <v>4</v>
      </c>
      <c r="B139" t="s">
        <v>31</v>
      </c>
      <c r="C139" s="24">
        <v>2</v>
      </c>
      <c r="D139" s="24">
        <v>-1</v>
      </c>
      <c r="E139" s="24">
        <v>0</v>
      </c>
      <c r="F139" s="24">
        <v>0</v>
      </c>
      <c r="G139" s="24">
        <v>1</v>
      </c>
      <c r="H139" s="7"/>
      <c r="I139" s="23"/>
    </row>
    <row r="140" spans="1:17" x14ac:dyDescent="0.25">
      <c r="A140" t="s">
        <v>63</v>
      </c>
      <c r="B140" t="s">
        <v>31</v>
      </c>
      <c r="C140" s="24">
        <v>-295.88752275203763</v>
      </c>
      <c r="D140" s="24">
        <v>-225.24309690466532</v>
      </c>
      <c r="E140" s="24">
        <v>-94.192567796496405</v>
      </c>
      <c r="F140" s="24">
        <v>0</v>
      </c>
      <c r="G140" s="24">
        <v>-615.32318745319935</v>
      </c>
      <c r="H140" s="7"/>
      <c r="I140" s="23"/>
    </row>
    <row r="141" spans="1:17" x14ac:dyDescent="0.25">
      <c r="A141" t="s">
        <v>5</v>
      </c>
      <c r="B141" t="s">
        <v>31</v>
      </c>
      <c r="C141" s="24">
        <v>3675.4127845542325</v>
      </c>
      <c r="D141" s="24">
        <v>2434.9028356671856</v>
      </c>
      <c r="E141" s="24">
        <v>1576.6758781379165</v>
      </c>
      <c r="F141" s="24">
        <v>-1.9914983593343962</v>
      </c>
      <c r="G141" s="24">
        <v>7685</v>
      </c>
      <c r="H141" s="7"/>
      <c r="I141" s="23"/>
      <c r="K141" s="24"/>
      <c r="L141" s="24"/>
      <c r="M141" s="24"/>
      <c r="N141" s="24"/>
      <c r="O141" s="24"/>
      <c r="P141" s="24"/>
      <c r="Q141" s="24"/>
    </row>
    <row r="142" spans="1:17" x14ac:dyDescent="0.25">
      <c r="N142" s="24"/>
      <c r="O142" s="24"/>
      <c r="P142" s="24"/>
      <c r="Q142" s="24"/>
    </row>
    <row r="143" spans="1:17" x14ac:dyDescent="0.25">
      <c r="N143" s="24"/>
      <c r="O143" s="24"/>
      <c r="P143" s="24"/>
      <c r="Q143" s="24"/>
    </row>
    <row r="144" spans="1:17" x14ac:dyDescent="0.25">
      <c r="N144" s="24"/>
      <c r="O144" s="24"/>
      <c r="P144" s="24"/>
      <c r="Q144" s="24"/>
    </row>
  </sheetData>
  <phoneticPr fontId="2" type="noConversion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57FD3-8A91-4F7F-A770-E48A2EE82B36}">
  <dimension ref="A1:Y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1" sqref="N1:P1048576"/>
    </sheetView>
  </sheetViews>
  <sheetFormatPr baseColWidth="10" defaultRowHeight="15" x14ac:dyDescent="0.25"/>
  <cols>
    <col min="2" max="2" width="22" bestFit="1" customWidth="1"/>
    <col min="3" max="3" width="21.85546875" bestFit="1" customWidth="1"/>
    <col min="4" max="4" width="22.28515625" bestFit="1" customWidth="1"/>
    <col min="5" max="5" width="17" bestFit="1" customWidth="1"/>
    <col min="6" max="6" width="16.85546875" bestFit="1" customWidth="1"/>
    <col min="7" max="7" width="17.85546875" bestFit="1" customWidth="1"/>
    <col min="8" max="8" width="17" bestFit="1" customWidth="1"/>
    <col min="9" max="10" width="17" customWidth="1"/>
    <col min="11" max="11" width="9" bestFit="1" customWidth="1"/>
    <col min="12" max="12" width="8.85546875" bestFit="1" customWidth="1"/>
    <col min="13" max="13" width="8.7109375" bestFit="1" customWidth="1"/>
    <col min="14" max="14" width="8.42578125" bestFit="1" customWidth="1"/>
    <col min="15" max="15" width="8.28515625" bestFit="1" customWidth="1"/>
    <col min="16" max="16" width="8.7109375" bestFit="1" customWidth="1"/>
    <col min="17" max="17" width="13.5703125" bestFit="1" customWidth="1"/>
    <col min="18" max="18" width="13.42578125" bestFit="1" customWidth="1"/>
    <col min="19" max="19" width="13.85546875" customWidth="1"/>
    <col min="20" max="20" width="14.85546875" bestFit="1" customWidth="1"/>
    <col min="21" max="21" width="14.85546875" customWidth="1"/>
    <col min="22" max="22" width="15.140625" bestFit="1" customWidth="1"/>
    <col min="23" max="25" width="13.85546875" bestFit="1" customWidth="1"/>
  </cols>
  <sheetData>
    <row r="1" spans="1:25" x14ac:dyDescent="0.25">
      <c r="A1" s="2" t="s">
        <v>114</v>
      </c>
      <c r="B1" s="2" t="s">
        <v>115</v>
      </c>
      <c r="C1" s="2" t="s">
        <v>116</v>
      </c>
      <c r="D1" s="2" t="s">
        <v>117</v>
      </c>
      <c r="E1" s="2" t="s">
        <v>118</v>
      </c>
      <c r="F1" s="2" t="s">
        <v>119</v>
      </c>
      <c r="G1" t="s">
        <v>120</v>
      </c>
      <c r="H1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  <c r="S1" s="2" t="s">
        <v>132</v>
      </c>
      <c r="T1" s="2" t="s">
        <v>133</v>
      </c>
      <c r="U1" s="2" t="s">
        <v>134</v>
      </c>
      <c r="V1" s="2" t="s">
        <v>135</v>
      </c>
      <c r="W1" s="2" t="s">
        <v>136</v>
      </c>
      <c r="X1" s="2" t="s">
        <v>137</v>
      </c>
      <c r="Y1" s="2" t="s">
        <v>138</v>
      </c>
    </row>
    <row r="2" spans="1:25" x14ac:dyDescent="0.25">
      <c r="A2" s="29">
        <v>44742</v>
      </c>
      <c r="B2" s="30">
        <v>-2E-3</v>
      </c>
      <c r="C2" s="30">
        <v>0</v>
      </c>
      <c r="D2" s="30">
        <v>-2.5999999999999999E-2</v>
      </c>
      <c r="E2" s="30">
        <v>3.7400000000000003E-2</v>
      </c>
      <c r="F2" s="30">
        <v>2.98E-2</v>
      </c>
      <c r="G2" s="30">
        <v>4.7E-2</v>
      </c>
      <c r="H2" s="30">
        <v>1.7500000000000002E-2</v>
      </c>
      <c r="I2" s="30">
        <v>0</v>
      </c>
      <c r="J2" s="30">
        <v>3.6999999999999998E-2</v>
      </c>
      <c r="K2" s="30">
        <v>1</v>
      </c>
      <c r="L2" s="30">
        <v>0.74480000000000002</v>
      </c>
      <c r="M2" s="30">
        <v>100.95659999999999</v>
      </c>
      <c r="N2" s="30">
        <v>8.6</v>
      </c>
      <c r="O2" s="30">
        <v>7.6</v>
      </c>
      <c r="P2" s="30">
        <v>2.2999999999999998</v>
      </c>
      <c r="Q2" s="30">
        <v>1</v>
      </c>
      <c r="R2" s="30">
        <v>1.0567</v>
      </c>
      <c r="S2" s="30">
        <v>0.14925373134328357</v>
      </c>
      <c r="T2" s="30">
        <v>70865.42</v>
      </c>
      <c r="U2" s="30">
        <v>54231.66</v>
      </c>
      <c r="V2" s="30">
        <v>40421.980000000003</v>
      </c>
      <c r="W2" s="30">
        <v>-0.7</v>
      </c>
      <c r="X2" s="30">
        <v>-0.2</v>
      </c>
      <c r="Y2" s="30">
        <v>0.31</v>
      </c>
    </row>
    <row r="3" spans="1:25" x14ac:dyDescent="0.25">
      <c r="A3" s="29">
        <v>44651</v>
      </c>
      <c r="B3" s="30">
        <v>-4.0000000000000001E-3</v>
      </c>
      <c r="C3" s="30">
        <v>8.0000000000000002E-3</v>
      </c>
      <c r="D3" s="30">
        <v>1.4E-2</v>
      </c>
      <c r="E3" s="30">
        <v>3.7999999999999999E-2</v>
      </c>
      <c r="F3" s="30">
        <v>0.03</v>
      </c>
      <c r="G3" s="30">
        <v>4.7E-2</v>
      </c>
      <c r="H3" s="30">
        <v>7.7000000000000002E-3</v>
      </c>
      <c r="I3" s="30">
        <v>0</v>
      </c>
      <c r="J3" s="30">
        <v>3.6999999999999998E-2</v>
      </c>
      <c r="K3" s="30">
        <v>1</v>
      </c>
      <c r="L3" s="30">
        <v>0.74480000000000002</v>
      </c>
      <c r="M3" s="30">
        <v>100.95659999999999</v>
      </c>
      <c r="N3" s="30">
        <v>8</v>
      </c>
      <c r="O3" s="30">
        <v>5.8</v>
      </c>
      <c r="P3" s="30">
        <v>1.2</v>
      </c>
      <c r="Q3" s="30">
        <v>1</v>
      </c>
      <c r="R3" s="30">
        <v>1.1001000000000001</v>
      </c>
      <c r="S3" s="30">
        <v>0.15723270440251572</v>
      </c>
      <c r="T3" s="30">
        <v>70865.42</v>
      </c>
      <c r="U3" s="30">
        <v>54231.66</v>
      </c>
      <c r="V3" s="30">
        <v>40421.980000000003</v>
      </c>
      <c r="W3" s="30">
        <v>-0.28000000000000003</v>
      </c>
      <c r="X3" s="30">
        <v>-1.1100000000000001</v>
      </c>
      <c r="Y3" s="30">
        <v>-1.03</v>
      </c>
    </row>
    <row r="4" spans="1:25" x14ac:dyDescent="0.25">
      <c r="A4" s="29">
        <v>44561</v>
      </c>
      <c r="B4" s="30">
        <v>1.7000000000000001E-2</v>
      </c>
      <c r="C4" s="30">
        <v>0</v>
      </c>
      <c r="D4" s="30">
        <v>1.4E-2</v>
      </c>
      <c r="E4" s="30">
        <v>4.2299999999999997E-2</v>
      </c>
      <c r="F4" s="30">
        <v>3.27E-2</v>
      </c>
      <c r="G4" s="30">
        <v>4.8000000000000001E-2</v>
      </c>
      <c r="H4" s="30">
        <v>1.1999999999999999E-3</v>
      </c>
      <c r="I4" s="30">
        <v>0</v>
      </c>
      <c r="J4" s="30">
        <v>3.7999999999999999E-2</v>
      </c>
      <c r="K4" s="30">
        <v>1</v>
      </c>
      <c r="L4" s="30">
        <v>0.74480000000000002</v>
      </c>
      <c r="M4" s="30">
        <v>100.95659999999999</v>
      </c>
      <c r="N4" s="30">
        <v>6.7</v>
      </c>
      <c r="O4" s="30">
        <v>5</v>
      </c>
      <c r="P4" s="30">
        <v>1.8</v>
      </c>
      <c r="Q4" s="30">
        <v>1</v>
      </c>
      <c r="R4" s="30">
        <v>1.1304000000000001</v>
      </c>
      <c r="S4" s="30">
        <v>0.15723270440251572</v>
      </c>
      <c r="T4" s="30">
        <v>70865.42</v>
      </c>
      <c r="U4" s="30">
        <v>54231.66</v>
      </c>
      <c r="V4" s="30">
        <v>40421.980000000003</v>
      </c>
      <c r="W4" s="30">
        <v>0.26</v>
      </c>
      <c r="X4" s="30">
        <v>-0.3</v>
      </c>
      <c r="Y4" s="30">
        <v>0.04</v>
      </c>
    </row>
    <row r="5" spans="1:25" x14ac:dyDescent="0.25">
      <c r="A5" s="29">
        <v>44469</v>
      </c>
      <c r="B5" s="30">
        <v>6.0000000000000001E-3</v>
      </c>
      <c r="C5" s="30">
        <v>7.0000000000000001E-3</v>
      </c>
      <c r="D5" s="30">
        <v>4.0000000000000001E-3</v>
      </c>
      <c r="E5" s="30">
        <v>5.0999999999999997E-2</v>
      </c>
      <c r="F5" s="30">
        <v>3.4700000000000002E-2</v>
      </c>
      <c r="G5" s="30">
        <v>4.8000000000000001E-2</v>
      </c>
      <c r="H5" s="30">
        <v>8.0000000000000004E-4</v>
      </c>
      <c r="I5" s="30">
        <v>0</v>
      </c>
      <c r="J5" s="30">
        <v>3.85E-2</v>
      </c>
      <c r="K5" s="30">
        <v>1</v>
      </c>
      <c r="L5" s="30">
        <v>0.74480000000000002</v>
      </c>
      <c r="M5" s="30">
        <v>100.95659999999999</v>
      </c>
      <c r="N5" s="30">
        <v>5.3</v>
      </c>
      <c r="O5" s="30">
        <v>3.9</v>
      </c>
      <c r="P5" s="30">
        <v>1</v>
      </c>
      <c r="Q5" s="30">
        <v>1</v>
      </c>
      <c r="R5" s="30">
        <v>1.1774</v>
      </c>
      <c r="S5" s="30">
        <v>0.15503875968992248</v>
      </c>
      <c r="T5" s="30">
        <v>70865.42</v>
      </c>
      <c r="U5" s="30">
        <v>54231.66</v>
      </c>
      <c r="V5" s="30">
        <v>40421.980000000003</v>
      </c>
      <c r="W5" s="30">
        <v>0.21</v>
      </c>
      <c r="X5" s="30">
        <v>0.4</v>
      </c>
      <c r="Y5" s="30">
        <v>0.52</v>
      </c>
    </row>
    <row r="6" spans="1:25" x14ac:dyDescent="0.25">
      <c r="A6" s="29">
        <v>44377</v>
      </c>
      <c r="B6" s="30">
        <v>1.6E-2</v>
      </c>
      <c r="C6" s="30">
        <v>0.02</v>
      </c>
      <c r="D6" s="30">
        <v>1.4999999999999999E-2</v>
      </c>
      <c r="E6" s="30">
        <v>5.8999999999999997E-2</v>
      </c>
      <c r="F6" s="30">
        <v>3.6999999999999998E-2</v>
      </c>
      <c r="G6" s="30">
        <v>4.8000000000000001E-2</v>
      </c>
      <c r="H6" s="30">
        <v>8.9999999999999998E-4</v>
      </c>
      <c r="I6" s="30">
        <v>0</v>
      </c>
      <c r="J6" s="30">
        <v>3.85E-2</v>
      </c>
      <c r="K6" s="30">
        <v>1</v>
      </c>
      <c r="L6" s="30">
        <v>0.74480000000000002</v>
      </c>
      <c r="M6" s="30">
        <v>100.95659999999999</v>
      </c>
      <c r="N6" s="30">
        <v>4.8</v>
      </c>
      <c r="O6" s="30">
        <v>2.2999999999999998</v>
      </c>
      <c r="P6" s="30">
        <v>1.3</v>
      </c>
      <c r="Q6" s="30">
        <v>1</v>
      </c>
      <c r="R6" s="30">
        <v>1.2039</v>
      </c>
      <c r="S6" s="30">
        <v>0.15455950540958269</v>
      </c>
      <c r="T6" s="30">
        <v>70865.42</v>
      </c>
      <c r="U6" s="30">
        <v>54231.66</v>
      </c>
      <c r="V6" s="30">
        <v>40421.980000000003</v>
      </c>
      <c r="W6" s="30">
        <v>0.21</v>
      </c>
      <c r="X6" s="30">
        <v>0.57999999999999996</v>
      </c>
      <c r="Y6" s="30">
        <v>0.14000000000000001</v>
      </c>
    </row>
    <row r="7" spans="1:25" x14ac:dyDescent="0.25">
      <c r="A7" s="29">
        <v>44286</v>
      </c>
      <c r="B7" s="30">
        <v>1.4999999999999999E-2</v>
      </c>
      <c r="C7" s="30">
        <v>-1.4999999999999999E-2</v>
      </c>
      <c r="D7" s="30">
        <v>6.0000000000000001E-3</v>
      </c>
      <c r="E7" s="30">
        <v>6.2E-2</v>
      </c>
      <c r="F7" s="30">
        <v>3.8699999999999998E-2</v>
      </c>
      <c r="G7" s="30">
        <v>4.8000000000000001E-2</v>
      </c>
      <c r="H7" s="30">
        <v>6.9999999999999999E-4</v>
      </c>
      <c r="I7" s="30">
        <v>0</v>
      </c>
      <c r="J7" s="30">
        <v>3.85E-2</v>
      </c>
      <c r="K7" s="30">
        <v>1</v>
      </c>
      <c r="L7" s="30">
        <v>0.74480000000000002</v>
      </c>
      <c r="M7" s="30">
        <v>100.95659999999999</v>
      </c>
      <c r="N7" s="30">
        <v>1.9</v>
      </c>
      <c r="O7" s="30">
        <v>1.4</v>
      </c>
      <c r="P7" s="30">
        <v>-0.1</v>
      </c>
      <c r="Q7" s="30">
        <v>1</v>
      </c>
      <c r="R7" s="30">
        <v>1.1902999999999999</v>
      </c>
      <c r="S7" s="30">
        <v>0.15220700152207001</v>
      </c>
      <c r="T7" s="30">
        <v>70865.42</v>
      </c>
      <c r="U7" s="30">
        <v>54231.66</v>
      </c>
      <c r="V7" s="30">
        <v>40421.980000000003</v>
      </c>
      <c r="W7" s="30">
        <v>0.66</v>
      </c>
      <c r="X7" s="30">
        <v>0.4</v>
      </c>
      <c r="Y7" s="30">
        <v>-0.67</v>
      </c>
    </row>
    <row r="8" spans="1:25" x14ac:dyDescent="0.25">
      <c r="A8" s="29">
        <v>44196</v>
      </c>
      <c r="B8" s="30">
        <v>1.0999999999999999E-2</v>
      </c>
      <c r="C8" s="30">
        <v>6.0000000000000001E-3</v>
      </c>
      <c r="D8" s="30">
        <v>2.4E-2</v>
      </c>
      <c r="E8" s="30">
        <v>6.7699999999999996E-2</v>
      </c>
      <c r="F8" s="30">
        <v>3.9E-2</v>
      </c>
      <c r="G8" s="30">
        <v>0.05</v>
      </c>
      <c r="H8" s="30">
        <v>8.0000000000000004E-4</v>
      </c>
      <c r="I8" s="30">
        <v>0</v>
      </c>
      <c r="J8" s="30">
        <v>3.85E-2</v>
      </c>
      <c r="K8" s="30">
        <v>1</v>
      </c>
      <c r="L8" s="30">
        <v>0.74829999999999997</v>
      </c>
      <c r="M8" s="30">
        <v>101.8057</v>
      </c>
      <c r="N8" s="30">
        <v>1.2</v>
      </c>
      <c r="O8" s="30">
        <v>-0.3</v>
      </c>
      <c r="P8" s="30">
        <v>0.1</v>
      </c>
      <c r="Q8" s="30">
        <v>1</v>
      </c>
      <c r="R8" s="30">
        <v>1.2176</v>
      </c>
      <c r="S8" s="30">
        <v>0.15313935681470137</v>
      </c>
      <c r="T8" s="30">
        <v>69391.81</v>
      </c>
      <c r="U8" s="30">
        <v>53744.99</v>
      </c>
      <c r="V8" s="30">
        <v>38514.86</v>
      </c>
      <c r="W8" s="30">
        <v>0.31</v>
      </c>
      <c r="X8" s="30">
        <v>0.13</v>
      </c>
      <c r="Y8" s="30">
        <v>-0.27</v>
      </c>
    </row>
    <row r="9" spans="1:25" x14ac:dyDescent="0.25">
      <c r="A9" s="29">
        <v>44104</v>
      </c>
      <c r="B9" s="30">
        <v>7.4999999999999997E-2</v>
      </c>
      <c r="C9" s="30">
        <v>0.09</v>
      </c>
      <c r="D9" s="30">
        <v>3.3000000000000002E-2</v>
      </c>
      <c r="E9" s="30">
        <v>8.8300000000000003E-2</v>
      </c>
      <c r="F9" s="30">
        <v>3.8699999999999998E-2</v>
      </c>
      <c r="G9" s="30">
        <v>0.05</v>
      </c>
      <c r="H9" s="30">
        <v>8.9999999999999998E-4</v>
      </c>
      <c r="I9" s="30">
        <v>0</v>
      </c>
      <c r="J9" s="30">
        <v>3.85E-2</v>
      </c>
      <c r="K9" s="30">
        <v>1</v>
      </c>
      <c r="L9" s="30">
        <v>0.74829999999999997</v>
      </c>
      <c r="M9" s="30">
        <v>101.8057</v>
      </c>
      <c r="N9" s="30">
        <v>1.2</v>
      </c>
      <c r="O9" s="30">
        <v>-0.1</v>
      </c>
      <c r="P9" s="30">
        <v>2</v>
      </c>
      <c r="Q9" s="30">
        <v>1</v>
      </c>
      <c r="R9" s="30">
        <v>1.1788000000000001</v>
      </c>
      <c r="S9" s="30">
        <v>0.14727540500736377</v>
      </c>
      <c r="T9" s="30">
        <v>69391.81</v>
      </c>
      <c r="U9" s="30">
        <v>53744.99</v>
      </c>
      <c r="V9" s="30">
        <v>38514.86</v>
      </c>
      <c r="W9" s="30">
        <v>0.52</v>
      </c>
      <c r="X9" s="30">
        <v>0.06</v>
      </c>
      <c r="Y9" s="30">
        <v>0.57999999999999996</v>
      </c>
    </row>
    <row r="10" spans="1:25" x14ac:dyDescent="0.25">
      <c r="A10" s="29">
        <v>44012</v>
      </c>
      <c r="B10" s="30">
        <v>-8.8999999999999996E-2</v>
      </c>
      <c r="C10" s="30">
        <v>-9.4E-2</v>
      </c>
      <c r="D10" s="30">
        <v>0.11700000000000001</v>
      </c>
      <c r="E10" s="30">
        <v>0.12970000000000001</v>
      </c>
      <c r="F10" s="30">
        <v>3.6299999999999999E-2</v>
      </c>
      <c r="G10" s="30">
        <v>0.05</v>
      </c>
      <c r="H10" s="30">
        <v>8.9999999999999998E-4</v>
      </c>
      <c r="I10" s="30">
        <v>0</v>
      </c>
      <c r="J10" s="30">
        <v>3.85E-2</v>
      </c>
      <c r="K10" s="30">
        <v>1</v>
      </c>
      <c r="L10" s="30">
        <v>0.74829999999999997</v>
      </c>
      <c r="M10" s="30">
        <v>101.8057</v>
      </c>
      <c r="N10" s="30">
        <v>0.4</v>
      </c>
      <c r="O10" s="30">
        <v>0.8</v>
      </c>
      <c r="P10" s="30">
        <v>2.7</v>
      </c>
      <c r="Q10" s="30">
        <v>1</v>
      </c>
      <c r="R10" s="30">
        <v>1.1254</v>
      </c>
      <c r="S10" s="30">
        <v>0.14144271570014144</v>
      </c>
      <c r="T10" s="30">
        <v>69391.81</v>
      </c>
      <c r="U10" s="30">
        <v>53744.99</v>
      </c>
      <c r="V10" s="30">
        <v>38514.86</v>
      </c>
      <c r="W10" s="30">
        <v>0.48</v>
      </c>
      <c r="X10" s="30">
        <v>0.67</v>
      </c>
      <c r="Y10" s="30">
        <v>-0.45</v>
      </c>
    </row>
    <row r="11" spans="1:25" x14ac:dyDescent="0.25">
      <c r="A11" s="29">
        <v>43921</v>
      </c>
      <c r="B11" s="30">
        <v>-1.2999999999999999E-2</v>
      </c>
      <c r="C11" s="30">
        <v>-1.4999999999999999E-2</v>
      </c>
      <c r="D11" s="30">
        <v>-0.10299999999999999</v>
      </c>
      <c r="E11" s="30">
        <v>3.7999999999999999E-2</v>
      </c>
      <c r="F11" s="30">
        <v>3.3000000000000002E-2</v>
      </c>
      <c r="G11" s="30">
        <v>0.05</v>
      </c>
      <c r="H11" s="30">
        <v>5.9999999999999995E-4</v>
      </c>
      <c r="I11" s="30">
        <v>0</v>
      </c>
      <c r="J11" s="30">
        <v>4.0500000000000001E-2</v>
      </c>
      <c r="K11" s="30">
        <v>1</v>
      </c>
      <c r="L11" s="30">
        <v>0.74829999999999997</v>
      </c>
      <c r="M11" s="30">
        <v>101.8057</v>
      </c>
      <c r="N11" s="30">
        <v>2.1</v>
      </c>
      <c r="O11" s="30">
        <v>1.6</v>
      </c>
      <c r="P11" s="30">
        <v>5</v>
      </c>
      <c r="Q11" s="30">
        <v>1</v>
      </c>
      <c r="R11" s="30">
        <v>1.1054999999999999</v>
      </c>
      <c r="S11" s="30">
        <v>0.14104372355430184</v>
      </c>
      <c r="T11" s="30">
        <v>69391.81</v>
      </c>
      <c r="U11" s="30">
        <v>53744.99</v>
      </c>
      <c r="V11" s="30">
        <v>38514.86</v>
      </c>
      <c r="W11" s="30">
        <v>-0.96</v>
      </c>
      <c r="X11" s="30">
        <v>-0.72</v>
      </c>
      <c r="Y11" s="30">
        <v>0.47</v>
      </c>
    </row>
    <row r="12" spans="1:25" x14ac:dyDescent="0.25">
      <c r="A12" s="29">
        <v>43830</v>
      </c>
      <c r="B12" s="30">
        <v>5.0000000000000001E-3</v>
      </c>
      <c r="C12" s="30">
        <v>2E-3</v>
      </c>
      <c r="D12" s="30">
        <v>1.2E-2</v>
      </c>
      <c r="E12" s="30">
        <v>3.5999999999999997E-2</v>
      </c>
      <c r="F12" s="30">
        <v>3.0700000000000002E-2</v>
      </c>
      <c r="G12" s="30">
        <v>4.4999999999999998E-2</v>
      </c>
      <c r="H12" s="30">
        <v>1.26E-2</v>
      </c>
      <c r="I12" s="30">
        <v>0</v>
      </c>
      <c r="J12" s="30">
        <v>4.1500000000000002E-2</v>
      </c>
      <c r="K12" s="30">
        <v>1</v>
      </c>
      <c r="L12" s="30">
        <v>0.76300000000000001</v>
      </c>
      <c r="M12" s="30">
        <v>105.20820000000001</v>
      </c>
      <c r="N12" s="30">
        <v>2</v>
      </c>
      <c r="O12" s="30">
        <v>1.2</v>
      </c>
      <c r="P12" s="30">
        <v>4.2</v>
      </c>
      <c r="Q12" s="30">
        <v>1</v>
      </c>
      <c r="R12" s="30">
        <v>1.1111</v>
      </c>
      <c r="S12" s="30">
        <v>0.14347202295552366</v>
      </c>
      <c r="T12" s="30">
        <v>65835.58</v>
      </c>
      <c r="U12" s="30">
        <v>54041.36</v>
      </c>
      <c r="V12" s="30">
        <v>38617.47</v>
      </c>
      <c r="W12" s="30">
        <v>0.2</v>
      </c>
      <c r="X12" s="30">
        <v>-0.22</v>
      </c>
      <c r="Y12" s="30">
        <v>0.28000000000000003</v>
      </c>
    </row>
    <row r="13" spans="1:25" x14ac:dyDescent="0.25">
      <c r="A13" s="29">
        <v>43738</v>
      </c>
      <c r="B13" s="30">
        <v>7.0000000000000001E-3</v>
      </c>
      <c r="C13" s="30">
        <v>1E-3</v>
      </c>
      <c r="D13" s="30">
        <v>1.4E-2</v>
      </c>
      <c r="E13" s="30">
        <v>3.6299999999999999E-2</v>
      </c>
      <c r="F13" s="30">
        <v>2.9000000000000001E-2</v>
      </c>
      <c r="G13" s="30">
        <v>4.4999999999999998E-2</v>
      </c>
      <c r="H13" s="30">
        <v>1.6400000000000001E-2</v>
      </c>
      <c r="I13" s="30">
        <v>0</v>
      </c>
      <c r="J13" s="30">
        <v>4.2000000000000003E-2</v>
      </c>
      <c r="K13" s="30">
        <v>1</v>
      </c>
      <c r="L13" s="30">
        <v>0.76300000000000001</v>
      </c>
      <c r="M13" s="30">
        <v>105.20820000000001</v>
      </c>
      <c r="N13" s="30">
        <v>1.8</v>
      </c>
      <c r="O13" s="30">
        <v>1.5</v>
      </c>
      <c r="P13" s="30">
        <v>2.9</v>
      </c>
      <c r="Q13" s="30">
        <v>1</v>
      </c>
      <c r="R13" s="30">
        <v>1.1023000000000001</v>
      </c>
      <c r="S13" s="30">
        <v>0.13986013986013984</v>
      </c>
      <c r="T13" s="30">
        <v>65835.58</v>
      </c>
      <c r="U13" s="30">
        <v>54041.36</v>
      </c>
      <c r="V13" s="30">
        <v>38617.47</v>
      </c>
      <c r="W13" s="30">
        <v>0.28000000000000003</v>
      </c>
      <c r="X13" s="30">
        <v>0.18</v>
      </c>
      <c r="Y13" s="30">
        <v>0.24</v>
      </c>
    </row>
    <row r="14" spans="1:25" x14ac:dyDescent="0.25">
      <c r="A14" s="29">
        <v>43646</v>
      </c>
      <c r="B14" s="30">
        <v>8.0000000000000002E-3</v>
      </c>
      <c r="C14" s="30">
        <v>-1E-3</v>
      </c>
      <c r="D14" s="30">
        <v>1.2999999999999999E-2</v>
      </c>
      <c r="E14" s="30">
        <v>3.5999999999999997E-2</v>
      </c>
      <c r="F14" s="30">
        <v>2.93E-2</v>
      </c>
      <c r="G14" s="30">
        <v>4.4999999999999998E-2</v>
      </c>
      <c r="H14" s="30">
        <v>2.1899999999999999E-2</v>
      </c>
      <c r="I14" s="30">
        <v>0</v>
      </c>
      <c r="J14" s="30">
        <v>4.3499999999999997E-2</v>
      </c>
      <c r="K14" s="30">
        <v>1</v>
      </c>
      <c r="L14" s="30">
        <v>0.76300000000000001</v>
      </c>
      <c r="M14" s="30">
        <v>105.20820000000001</v>
      </c>
      <c r="N14" s="30">
        <v>1.8</v>
      </c>
      <c r="O14" s="30">
        <v>1.7</v>
      </c>
      <c r="P14" s="30">
        <v>2.7</v>
      </c>
      <c r="Q14" s="30">
        <v>1</v>
      </c>
      <c r="R14" s="30">
        <v>1.1301000000000001</v>
      </c>
      <c r="S14" s="30">
        <v>0.14513788098693758</v>
      </c>
      <c r="T14" s="30">
        <v>65835.58</v>
      </c>
      <c r="U14" s="30">
        <v>54041.36</v>
      </c>
      <c r="V14" s="30">
        <v>38617.47</v>
      </c>
      <c r="W14" s="30">
        <v>-0.14000000000000001</v>
      </c>
      <c r="X14" s="30">
        <v>-0.18</v>
      </c>
      <c r="Y14" s="30">
        <v>0.35</v>
      </c>
    </row>
    <row r="15" spans="1:25" x14ac:dyDescent="0.25">
      <c r="A15" s="29">
        <v>43555</v>
      </c>
      <c r="B15" s="30">
        <v>6.0000000000000001E-3</v>
      </c>
      <c r="C15" s="30">
        <v>7.0000000000000001E-3</v>
      </c>
      <c r="D15" s="30">
        <v>1.7999999999999999E-2</v>
      </c>
      <c r="E15" s="30">
        <v>3.8699999999999998E-2</v>
      </c>
      <c r="F15" s="30">
        <v>3.0300000000000001E-2</v>
      </c>
      <c r="G15" s="30">
        <v>4.4999999999999998E-2</v>
      </c>
      <c r="H15" s="30">
        <v>2.4E-2</v>
      </c>
      <c r="I15" s="30">
        <v>0</v>
      </c>
      <c r="J15" s="30">
        <v>4.3499999999999997E-2</v>
      </c>
      <c r="K15" s="30">
        <v>1</v>
      </c>
      <c r="L15" s="30">
        <v>0.76300000000000001</v>
      </c>
      <c r="M15" s="30">
        <v>105.20820000000001</v>
      </c>
      <c r="N15" s="30">
        <v>1.6</v>
      </c>
      <c r="O15" s="30">
        <v>1.4</v>
      </c>
      <c r="P15" s="30">
        <v>1.8</v>
      </c>
      <c r="Q15" s="30">
        <v>1</v>
      </c>
      <c r="R15" s="30">
        <v>1.1297999999999999</v>
      </c>
      <c r="S15" s="30">
        <v>0.14880952380952381</v>
      </c>
      <c r="T15" s="30">
        <v>65835.58</v>
      </c>
      <c r="U15" s="30">
        <v>54041.36</v>
      </c>
      <c r="V15" s="30">
        <v>38617.47</v>
      </c>
      <c r="W15" s="30">
        <v>0.37</v>
      </c>
      <c r="X15" s="30">
        <v>0.05</v>
      </c>
      <c r="Y15" s="30">
        <v>-0.27</v>
      </c>
    </row>
    <row r="16" spans="1:25" x14ac:dyDescent="0.25">
      <c r="A16" s="29">
        <v>43465</v>
      </c>
      <c r="B16" s="30">
        <v>2E-3</v>
      </c>
      <c r="C16" s="30">
        <v>8.0000000000000002E-3</v>
      </c>
      <c r="D16" s="30">
        <v>1.4E-2</v>
      </c>
      <c r="E16" s="30">
        <v>3.8300000000000001E-2</v>
      </c>
      <c r="F16" s="30">
        <v>3.1E-2</v>
      </c>
      <c r="G16" s="30">
        <v>4.2999999999999997E-2</v>
      </c>
      <c r="H16" s="30">
        <v>2.4E-2</v>
      </c>
      <c r="I16" s="30">
        <v>0</v>
      </c>
      <c r="J16" s="30">
        <v>4.3499999999999997E-2</v>
      </c>
      <c r="K16" s="30">
        <v>1</v>
      </c>
      <c r="L16" s="30">
        <v>0.7409</v>
      </c>
      <c r="M16" s="30">
        <v>103.8129</v>
      </c>
      <c r="N16" s="30">
        <v>2.2000000000000002</v>
      </c>
      <c r="O16" s="30">
        <v>2</v>
      </c>
      <c r="P16" s="30">
        <v>2.2000000000000002</v>
      </c>
      <c r="Q16" s="30">
        <v>1</v>
      </c>
      <c r="R16" s="30">
        <v>1.1376999999999999</v>
      </c>
      <c r="S16" s="30">
        <v>0.14556040756914118</v>
      </c>
      <c r="T16" s="30">
        <v>64396.7</v>
      </c>
      <c r="U16" s="30">
        <v>52929.55</v>
      </c>
      <c r="V16" s="30">
        <v>38193.17</v>
      </c>
      <c r="W16" s="30">
        <v>0.06</v>
      </c>
      <c r="X16" s="30">
        <v>-0.06</v>
      </c>
      <c r="Y16" s="30">
        <v>0.13</v>
      </c>
    </row>
    <row r="17" spans="1:25" x14ac:dyDescent="0.25">
      <c r="A17" s="29">
        <v>43373</v>
      </c>
      <c r="B17" s="30">
        <v>5.0000000000000001E-3</v>
      </c>
      <c r="C17" s="30">
        <v>-8.0000000000000002E-3</v>
      </c>
      <c r="D17" s="30">
        <v>1.4E-2</v>
      </c>
      <c r="E17" s="30">
        <v>3.7699999999999997E-2</v>
      </c>
      <c r="F17" s="30">
        <v>3.2000000000000001E-2</v>
      </c>
      <c r="G17" s="30">
        <v>4.2999999999999997E-2</v>
      </c>
      <c r="H17" s="30">
        <v>2.2200000000000001E-2</v>
      </c>
      <c r="I17" s="30">
        <v>0</v>
      </c>
      <c r="J17" s="30">
        <v>4.3499999999999997E-2</v>
      </c>
      <c r="K17" s="30">
        <v>1</v>
      </c>
      <c r="L17" s="30">
        <v>0.7409</v>
      </c>
      <c r="M17" s="30">
        <v>103.8129</v>
      </c>
      <c r="N17" s="30">
        <v>2.6</v>
      </c>
      <c r="O17" s="30">
        <v>1.9</v>
      </c>
      <c r="P17" s="30">
        <v>2.2999999999999998</v>
      </c>
      <c r="Q17" s="30">
        <v>1</v>
      </c>
      <c r="R17" s="30">
        <v>1.1656</v>
      </c>
      <c r="S17" s="30">
        <v>0.14556040756914118</v>
      </c>
      <c r="T17" s="30">
        <v>64396.7</v>
      </c>
      <c r="U17" s="30">
        <v>52929.55</v>
      </c>
      <c r="V17" s="30">
        <v>38193.17</v>
      </c>
      <c r="W17" s="30">
        <v>0.31</v>
      </c>
      <c r="X17" s="30">
        <v>0.01</v>
      </c>
      <c r="Y17" s="30">
        <v>-0.03</v>
      </c>
    </row>
    <row r="18" spans="1:25" x14ac:dyDescent="0.25">
      <c r="A18" s="29">
        <v>43281</v>
      </c>
      <c r="B18" s="30">
        <v>8.0000000000000002E-3</v>
      </c>
      <c r="C18" s="30">
        <v>8.0000000000000002E-3</v>
      </c>
      <c r="D18" s="30">
        <v>1.6E-2</v>
      </c>
      <c r="E18" s="30">
        <v>3.9300000000000002E-2</v>
      </c>
      <c r="F18" s="30">
        <v>3.2300000000000002E-2</v>
      </c>
      <c r="G18" s="30">
        <v>4.2999999999999997E-2</v>
      </c>
      <c r="H18" s="30">
        <v>1.9199999999999998E-2</v>
      </c>
      <c r="I18" s="30">
        <v>0</v>
      </c>
      <c r="J18" s="30">
        <v>4.3499999999999997E-2</v>
      </c>
      <c r="K18" s="30">
        <v>1</v>
      </c>
      <c r="L18" s="30">
        <v>0.7409</v>
      </c>
      <c r="M18" s="30">
        <v>103.8129</v>
      </c>
      <c r="N18" s="30">
        <v>2.7</v>
      </c>
      <c r="O18" s="30">
        <v>1.7</v>
      </c>
      <c r="P18" s="30">
        <v>1.7</v>
      </c>
      <c r="Q18" s="30">
        <v>1</v>
      </c>
      <c r="R18" s="30">
        <v>1.1679999999999999</v>
      </c>
      <c r="S18" s="30">
        <v>0.15105740181268881</v>
      </c>
      <c r="T18" s="30">
        <v>64396.7</v>
      </c>
      <c r="U18" s="30">
        <v>52929.55</v>
      </c>
      <c r="V18" s="30">
        <v>38193.17</v>
      </c>
      <c r="W18" s="30">
        <v>0.02</v>
      </c>
      <c r="X18" s="30">
        <v>0</v>
      </c>
      <c r="Y18" s="30">
        <v>-0.66</v>
      </c>
    </row>
    <row r="19" spans="1:25" x14ac:dyDescent="0.25">
      <c r="A19" s="29">
        <v>43190</v>
      </c>
      <c r="B19" s="30">
        <v>8.0000000000000002E-3</v>
      </c>
      <c r="C19" s="30">
        <v>-6.0000000000000001E-3</v>
      </c>
      <c r="D19" s="30">
        <v>1.9E-2</v>
      </c>
      <c r="E19" s="30">
        <v>4.0300000000000002E-2</v>
      </c>
      <c r="F19" s="30">
        <v>3.3000000000000002E-2</v>
      </c>
      <c r="G19" s="30">
        <v>4.2999999999999997E-2</v>
      </c>
      <c r="H19" s="30">
        <v>1.7399999999999999E-2</v>
      </c>
      <c r="I19" s="30">
        <v>0</v>
      </c>
      <c r="J19" s="30">
        <v>4.3499999999999997E-2</v>
      </c>
      <c r="K19" s="30">
        <v>1</v>
      </c>
      <c r="L19" s="30">
        <v>0.7409</v>
      </c>
      <c r="M19" s="30">
        <v>103.8129</v>
      </c>
      <c r="N19" s="30">
        <v>2.2000000000000002</v>
      </c>
      <c r="O19" s="30">
        <v>1.3</v>
      </c>
      <c r="P19" s="30">
        <v>2.1</v>
      </c>
      <c r="Q19" s="30">
        <v>1</v>
      </c>
      <c r="R19" s="30">
        <v>1.2330000000000001</v>
      </c>
      <c r="S19" s="30">
        <v>0.15948963317384371</v>
      </c>
      <c r="T19" s="30">
        <v>64396.7</v>
      </c>
      <c r="U19" s="30">
        <v>52929.55</v>
      </c>
      <c r="V19" s="30">
        <v>38193.17</v>
      </c>
      <c r="W19" s="30">
        <v>0.14000000000000001</v>
      </c>
      <c r="X19" s="30">
        <v>-0.08</v>
      </c>
      <c r="Y19" s="30">
        <v>-0.24</v>
      </c>
    </row>
    <row r="20" spans="1:25" x14ac:dyDescent="0.25">
      <c r="A20" s="29">
        <v>43100</v>
      </c>
      <c r="B20" s="30">
        <v>8.9999999999999993E-3</v>
      </c>
      <c r="C20" s="30">
        <v>8.9999999999999993E-3</v>
      </c>
      <c r="D20" s="30">
        <v>1.6E-2</v>
      </c>
      <c r="E20" s="30">
        <v>4.1700000000000001E-2</v>
      </c>
      <c r="F20" s="30">
        <v>3.4299999999999997E-2</v>
      </c>
      <c r="G20" s="30">
        <v>4.4000000000000004E-2</v>
      </c>
      <c r="H20" s="30">
        <v>1.4500000000000001E-2</v>
      </c>
      <c r="I20" s="30">
        <v>0</v>
      </c>
      <c r="J20" s="30">
        <v>4.3499999999999997E-2</v>
      </c>
      <c r="K20" s="30">
        <v>1</v>
      </c>
      <c r="L20" s="30">
        <v>0.74970000000000003</v>
      </c>
      <c r="M20" s="30">
        <v>105.4072</v>
      </c>
      <c r="N20" s="30">
        <v>2.1</v>
      </c>
      <c r="O20" s="30">
        <v>1.4</v>
      </c>
      <c r="P20" s="30">
        <v>1.8</v>
      </c>
      <c r="Q20" s="30">
        <v>1</v>
      </c>
      <c r="R20" s="30">
        <v>1.1845000000000001</v>
      </c>
      <c r="S20" s="30">
        <v>0.15360983102918588</v>
      </c>
      <c r="T20" s="30">
        <v>63734.34</v>
      </c>
      <c r="U20" s="30">
        <v>52181.31</v>
      </c>
      <c r="V20" s="30">
        <v>38084.71</v>
      </c>
      <c r="W20" s="30">
        <v>-0.21</v>
      </c>
      <c r="X20" s="30">
        <v>0</v>
      </c>
      <c r="Y20" s="30">
        <v>0.18</v>
      </c>
    </row>
    <row r="21" spans="1:25" x14ac:dyDescent="0.25">
      <c r="A21" s="29">
        <v>43008</v>
      </c>
      <c r="B21" s="30">
        <v>7.0000000000000001E-3</v>
      </c>
      <c r="C21" s="30">
        <v>7.0000000000000001E-3</v>
      </c>
      <c r="D21" s="30">
        <v>1.6E-2</v>
      </c>
      <c r="E21" s="30">
        <v>4.3299999999999998E-2</v>
      </c>
      <c r="F21" s="30">
        <v>3.5000000000000003E-2</v>
      </c>
      <c r="G21" s="30">
        <v>4.4000000000000004E-2</v>
      </c>
      <c r="H21" s="30">
        <v>1.2E-2</v>
      </c>
      <c r="I21" s="30">
        <v>0</v>
      </c>
      <c r="J21" s="30">
        <v>4.3499999999999997E-2</v>
      </c>
      <c r="K21" s="30">
        <v>1</v>
      </c>
      <c r="L21" s="30">
        <v>0.74970000000000003</v>
      </c>
      <c r="M21" s="30">
        <v>105.4072</v>
      </c>
      <c r="N21" s="30">
        <v>2</v>
      </c>
      <c r="O21" s="30">
        <v>1.6</v>
      </c>
      <c r="P21" s="30">
        <v>1.6</v>
      </c>
      <c r="Q21" s="30">
        <v>1</v>
      </c>
      <c r="R21" s="30">
        <v>1.1912</v>
      </c>
      <c r="S21" s="30">
        <v>0.15037593984962405</v>
      </c>
      <c r="T21" s="30">
        <v>63734.34</v>
      </c>
      <c r="U21" s="30">
        <v>52181.31</v>
      </c>
      <c r="V21" s="30">
        <v>38084.71</v>
      </c>
      <c r="W21" s="30">
        <v>-0.14000000000000001</v>
      </c>
      <c r="X21" s="30">
        <v>-0.02</v>
      </c>
      <c r="Y21" s="30">
        <v>0.64</v>
      </c>
    </row>
    <row r="22" spans="1:25" x14ac:dyDescent="0.25">
      <c r="A22" s="29">
        <v>42916</v>
      </c>
      <c r="B22" s="30">
        <v>6.0000000000000001E-3</v>
      </c>
      <c r="C22" s="30">
        <v>8.9999999999999993E-3</v>
      </c>
      <c r="D22" s="30">
        <v>1.7000000000000001E-2</v>
      </c>
      <c r="E22" s="30">
        <v>4.3700000000000003E-2</v>
      </c>
      <c r="F22" s="30">
        <v>3.5999999999999997E-2</v>
      </c>
      <c r="G22" s="30">
        <v>4.4000000000000004E-2</v>
      </c>
      <c r="H22" s="30">
        <v>1.15E-2</v>
      </c>
      <c r="I22" s="30">
        <v>0</v>
      </c>
      <c r="J22" s="30">
        <v>4.3499999999999997E-2</v>
      </c>
      <c r="K22" s="30">
        <v>1</v>
      </c>
      <c r="L22" s="30">
        <v>0.74970000000000003</v>
      </c>
      <c r="M22" s="30">
        <v>105.4072</v>
      </c>
      <c r="N22" s="30">
        <v>1.9</v>
      </c>
      <c r="O22" s="30">
        <v>1.4</v>
      </c>
      <c r="P22" s="30">
        <v>1.5</v>
      </c>
      <c r="Q22" s="30">
        <v>1</v>
      </c>
      <c r="R22" s="30">
        <v>1.1296999999999999</v>
      </c>
      <c r="S22" s="30">
        <v>0.14749262536873156</v>
      </c>
      <c r="T22" s="30">
        <v>63734.34</v>
      </c>
      <c r="U22" s="30">
        <v>52181.31</v>
      </c>
      <c r="V22" s="30">
        <v>38084.71</v>
      </c>
      <c r="W22" s="30">
        <v>-0.16</v>
      </c>
      <c r="X22" s="30">
        <v>0.13</v>
      </c>
      <c r="Y22" s="30">
        <v>0.19</v>
      </c>
    </row>
    <row r="23" spans="1:25" x14ac:dyDescent="0.25">
      <c r="A23" s="29">
        <v>42825</v>
      </c>
      <c r="B23" s="30">
        <v>5.0000000000000001E-3</v>
      </c>
      <c r="C23" s="30">
        <v>1.2E-2</v>
      </c>
      <c r="D23" s="30">
        <v>1.7999999999999999E-2</v>
      </c>
      <c r="E23" s="30">
        <v>4.5699999999999998E-2</v>
      </c>
      <c r="F23" s="30">
        <v>3.6700000000000003E-2</v>
      </c>
      <c r="G23" s="30">
        <v>4.4000000000000004E-2</v>
      </c>
      <c r="H23" s="30">
        <v>9.4999999999999998E-3</v>
      </c>
      <c r="I23" s="30">
        <v>0</v>
      </c>
      <c r="J23" s="30">
        <v>4.3499999999999997E-2</v>
      </c>
      <c r="K23" s="30">
        <v>1</v>
      </c>
      <c r="L23" s="30">
        <v>0.74970000000000003</v>
      </c>
      <c r="M23" s="30">
        <v>105.4072</v>
      </c>
      <c r="N23" s="30">
        <v>2.5</v>
      </c>
      <c r="O23" s="30">
        <v>1.6</v>
      </c>
      <c r="P23" s="30">
        <v>1.4</v>
      </c>
      <c r="Q23" s="30">
        <v>1</v>
      </c>
      <c r="R23" s="30">
        <v>1.0694999999999999</v>
      </c>
      <c r="S23" s="30">
        <v>0.14513788098693758</v>
      </c>
      <c r="T23" s="30">
        <v>63734.34</v>
      </c>
      <c r="U23" s="30">
        <v>52181.31</v>
      </c>
      <c r="V23" s="30">
        <v>38084.71</v>
      </c>
      <c r="W23" s="30">
        <v>0.05</v>
      </c>
      <c r="X23" s="30">
        <v>0.15</v>
      </c>
      <c r="Y23" s="30">
        <v>-0.23</v>
      </c>
    </row>
    <row r="24" spans="1:25" x14ac:dyDescent="0.25">
      <c r="A24" s="29">
        <v>42735</v>
      </c>
      <c r="B24" s="30">
        <v>5.0000000000000001E-3</v>
      </c>
      <c r="C24" s="30">
        <v>4.0000000000000001E-3</v>
      </c>
      <c r="D24" s="30">
        <v>1.6E-2</v>
      </c>
      <c r="E24" s="30">
        <v>4.7699999999999999E-2</v>
      </c>
      <c r="F24" s="30">
        <v>3.73E-2</v>
      </c>
      <c r="G24" s="30">
        <v>4.4999999999999998E-2</v>
      </c>
      <c r="H24" s="30">
        <v>7.0000000000000001E-3</v>
      </c>
      <c r="I24" s="30">
        <v>0</v>
      </c>
      <c r="J24" s="30">
        <v>4.3499999999999997E-2</v>
      </c>
      <c r="K24" s="30">
        <v>1</v>
      </c>
      <c r="L24" s="30">
        <v>0.75429999999999997</v>
      </c>
      <c r="M24" s="30">
        <v>106.4092</v>
      </c>
      <c r="N24" s="30">
        <v>1.8</v>
      </c>
      <c r="O24" s="30">
        <v>1</v>
      </c>
      <c r="P24" s="30">
        <v>2.2000000000000002</v>
      </c>
      <c r="Q24" s="30">
        <v>1</v>
      </c>
      <c r="R24" s="30">
        <v>1.0538000000000001</v>
      </c>
      <c r="S24" s="30">
        <v>0.14450867052023122</v>
      </c>
      <c r="T24" s="30">
        <v>63079.26</v>
      </c>
      <c r="U24" s="30">
        <v>51622.98</v>
      </c>
      <c r="V24" s="30">
        <v>37896.31</v>
      </c>
      <c r="W24" s="30">
        <v>0.36</v>
      </c>
      <c r="X24" s="30">
        <v>0.1</v>
      </c>
      <c r="Y24" s="30">
        <v>-0.03</v>
      </c>
    </row>
    <row r="25" spans="1:25" x14ac:dyDescent="0.25">
      <c r="A25" s="29">
        <v>42643</v>
      </c>
      <c r="B25" s="30">
        <v>6.0000000000000001E-3</v>
      </c>
      <c r="C25" s="30">
        <v>3.0000000000000001E-3</v>
      </c>
      <c r="D25" s="30">
        <v>1.7000000000000001E-2</v>
      </c>
      <c r="E25" s="30">
        <v>4.9000000000000002E-2</v>
      </c>
      <c r="F25" s="30">
        <v>3.8699999999999998E-2</v>
      </c>
      <c r="G25" s="30">
        <v>4.4999999999999998E-2</v>
      </c>
      <c r="H25" s="30">
        <v>4.4999999999999997E-3</v>
      </c>
      <c r="I25" s="30">
        <v>0</v>
      </c>
      <c r="J25" s="30">
        <v>4.3499999999999997E-2</v>
      </c>
      <c r="K25" s="30">
        <v>1</v>
      </c>
      <c r="L25" s="30">
        <v>0.75429999999999997</v>
      </c>
      <c r="M25" s="30">
        <v>106.4092</v>
      </c>
      <c r="N25" s="30">
        <v>1.1000000000000001</v>
      </c>
      <c r="O25" s="30">
        <v>0.5</v>
      </c>
      <c r="P25" s="30">
        <v>1.6</v>
      </c>
      <c r="Q25" s="30">
        <v>1</v>
      </c>
      <c r="R25" s="30">
        <v>1.1203000000000001</v>
      </c>
      <c r="S25" s="30">
        <v>0.14992503748125938</v>
      </c>
      <c r="T25" s="30">
        <v>63079.26</v>
      </c>
      <c r="U25" s="30">
        <v>51622.98</v>
      </c>
      <c r="V25" s="30">
        <v>37896.31</v>
      </c>
      <c r="W25" s="30">
        <v>0.11</v>
      </c>
      <c r="X25" s="30">
        <v>-0.06</v>
      </c>
      <c r="Y25" s="30">
        <v>-0.14000000000000001</v>
      </c>
    </row>
    <row r="26" spans="1:25" x14ac:dyDescent="0.25">
      <c r="A26" s="29">
        <v>42551</v>
      </c>
      <c r="B26" s="30">
        <v>3.0000000000000001E-3</v>
      </c>
      <c r="C26" s="30">
        <v>5.0000000000000001E-3</v>
      </c>
      <c r="D26" s="30">
        <v>1.9E-2</v>
      </c>
      <c r="E26" s="30">
        <v>4.9299999999999997E-2</v>
      </c>
      <c r="F26" s="30">
        <v>0.04</v>
      </c>
      <c r="G26" s="30">
        <v>4.4999999999999998E-2</v>
      </c>
      <c r="H26" s="30">
        <v>4.0000000000000001E-3</v>
      </c>
      <c r="I26" s="30">
        <v>0</v>
      </c>
      <c r="J26" s="30">
        <v>4.3499999999999997E-2</v>
      </c>
      <c r="K26" s="30">
        <v>1</v>
      </c>
      <c r="L26" s="30">
        <v>0.75429999999999997</v>
      </c>
      <c r="M26" s="30">
        <v>106.4092</v>
      </c>
      <c r="N26" s="30">
        <v>1</v>
      </c>
      <c r="O26" s="30">
        <v>0.1</v>
      </c>
      <c r="P26" s="30">
        <v>2.1</v>
      </c>
      <c r="Q26" s="30">
        <v>1</v>
      </c>
      <c r="R26" s="30">
        <v>1.1245000000000001</v>
      </c>
      <c r="S26" s="30">
        <v>0.14947683109118085</v>
      </c>
      <c r="T26" s="30">
        <v>63079.26</v>
      </c>
      <c r="U26" s="30">
        <v>51622.98</v>
      </c>
      <c r="V26" s="30">
        <v>37896.31</v>
      </c>
      <c r="W26" s="30">
        <v>-0.1</v>
      </c>
      <c r="X26" s="30">
        <v>0.12</v>
      </c>
      <c r="Y26" s="30">
        <v>0.45</v>
      </c>
    </row>
    <row r="27" spans="1:25" x14ac:dyDescent="0.25">
      <c r="A27" s="29">
        <v>42460</v>
      </c>
      <c r="B27" s="30">
        <v>6.0000000000000001E-3</v>
      </c>
      <c r="C27" s="30">
        <v>8.0000000000000002E-3</v>
      </c>
      <c r="D27" s="30">
        <v>1.4E-2</v>
      </c>
      <c r="E27" s="30">
        <v>4.9000000000000002E-2</v>
      </c>
      <c r="F27" s="30">
        <v>4.1300000000000003E-2</v>
      </c>
      <c r="G27" s="30">
        <v>4.4999999999999998E-2</v>
      </c>
      <c r="H27" s="30">
        <v>3.7000000000000002E-3</v>
      </c>
      <c r="I27" s="30">
        <v>0</v>
      </c>
      <c r="J27" s="30">
        <v>4.3499999999999997E-2</v>
      </c>
      <c r="K27" s="30">
        <v>1</v>
      </c>
      <c r="L27" s="30">
        <v>0.75429999999999997</v>
      </c>
      <c r="M27" s="30">
        <v>106.4092</v>
      </c>
      <c r="N27" s="30">
        <v>1.1000000000000001</v>
      </c>
      <c r="O27" s="30">
        <v>0.3</v>
      </c>
      <c r="P27" s="30">
        <v>2.1</v>
      </c>
      <c r="Q27" s="30">
        <v>1</v>
      </c>
      <c r="R27" s="30">
        <v>1.1119000000000001</v>
      </c>
      <c r="S27" s="30">
        <v>0.15432098765432098</v>
      </c>
      <c r="T27" s="30">
        <v>63079.26</v>
      </c>
      <c r="U27" s="30">
        <v>51622.98</v>
      </c>
      <c r="V27" s="30">
        <v>37896.31</v>
      </c>
      <c r="W27" s="30">
        <v>-0.06</v>
      </c>
      <c r="X27" s="30">
        <v>-0.04</v>
      </c>
      <c r="Y27" s="30">
        <v>-0.63</v>
      </c>
    </row>
    <row r="28" spans="1:25" x14ac:dyDescent="0.25">
      <c r="A28" s="29">
        <v>42369</v>
      </c>
      <c r="B28" s="30">
        <v>1E-3</v>
      </c>
      <c r="C28" s="30">
        <v>4.0000000000000001E-3</v>
      </c>
      <c r="D28" s="30">
        <v>1.6E-2</v>
      </c>
      <c r="E28" s="30">
        <v>5.0299999999999997E-2</v>
      </c>
      <c r="F28" s="30">
        <v>4.2299999999999997E-2</v>
      </c>
      <c r="G28" s="30">
        <v>4.5999999999999999E-2</v>
      </c>
      <c r="H28" s="30">
        <v>3.5999999999999999E-3</v>
      </c>
      <c r="I28" s="30">
        <v>5.0000000000000001E-4</v>
      </c>
      <c r="J28" s="30">
        <v>4.3499999999999997E-2</v>
      </c>
      <c r="K28" s="30">
        <v>1</v>
      </c>
      <c r="L28" s="30">
        <v>0.7823</v>
      </c>
      <c r="M28" s="30">
        <v>100.77800000000001</v>
      </c>
      <c r="N28" s="30">
        <v>0.5</v>
      </c>
      <c r="O28" s="30">
        <v>0.4</v>
      </c>
      <c r="P28" s="30">
        <v>1.5</v>
      </c>
      <c r="Q28" s="30">
        <v>1</v>
      </c>
      <c r="R28" s="30">
        <v>1.0893999999999999</v>
      </c>
      <c r="S28" s="30">
        <v>0.15174506828528073</v>
      </c>
      <c r="T28" s="30">
        <v>62982.15</v>
      </c>
      <c r="U28" s="30">
        <v>50878.09</v>
      </c>
      <c r="V28" s="30">
        <v>37225.93</v>
      </c>
      <c r="W28" s="30">
        <v>0.11</v>
      </c>
      <c r="X28" s="30">
        <v>0.26</v>
      </c>
      <c r="Y28" s="30">
        <v>-0.06</v>
      </c>
    </row>
    <row r="29" spans="1:25" x14ac:dyDescent="0.25">
      <c r="A29" s="29">
        <v>42277</v>
      </c>
      <c r="B29" s="30">
        <v>3.0000000000000001E-3</v>
      </c>
      <c r="C29" s="30">
        <v>4.0000000000000001E-3</v>
      </c>
      <c r="D29" s="30">
        <v>1.7000000000000001E-2</v>
      </c>
      <c r="E29" s="30">
        <v>5.0999999999999997E-2</v>
      </c>
      <c r="F29" s="30">
        <v>4.2999999999999997E-2</v>
      </c>
      <c r="G29" s="30">
        <v>4.5999999999999999E-2</v>
      </c>
      <c r="H29" s="30">
        <v>1.6000000000000001E-3</v>
      </c>
      <c r="I29" s="30">
        <v>5.0000000000000001E-4</v>
      </c>
      <c r="J29" s="30">
        <v>4.5999999999999999E-2</v>
      </c>
      <c r="K29" s="30">
        <v>1</v>
      </c>
      <c r="L29" s="30">
        <v>0.7823</v>
      </c>
      <c r="M29" s="30">
        <v>100.77800000000001</v>
      </c>
      <c r="N29" s="30">
        <v>0.1</v>
      </c>
      <c r="O29" s="30">
        <v>0.7</v>
      </c>
      <c r="P29" s="30">
        <v>1.8</v>
      </c>
      <c r="Q29" s="30">
        <v>1</v>
      </c>
      <c r="R29" s="30">
        <v>1.1237999999999999</v>
      </c>
      <c r="S29" s="30">
        <v>0.15723270440251572</v>
      </c>
      <c r="T29" s="30">
        <v>62982.15</v>
      </c>
      <c r="U29" s="30">
        <v>50878.09</v>
      </c>
      <c r="V29" s="30">
        <v>37225.93</v>
      </c>
      <c r="W29" s="30">
        <v>-0.38</v>
      </c>
      <c r="X29" s="30">
        <v>-0.22</v>
      </c>
      <c r="Y29" s="30">
        <v>0.23</v>
      </c>
    </row>
    <row r="30" spans="1:25" x14ac:dyDescent="0.25">
      <c r="A30" s="29">
        <v>42185</v>
      </c>
      <c r="B30" s="30">
        <v>6.0000000000000001E-3</v>
      </c>
      <c r="C30" s="30">
        <v>7.0000000000000001E-3</v>
      </c>
      <c r="D30" s="30">
        <v>0.02</v>
      </c>
      <c r="E30" s="30">
        <v>5.4300000000000001E-2</v>
      </c>
      <c r="F30" s="30">
        <v>4.3999999999999997E-2</v>
      </c>
      <c r="G30" s="30">
        <v>4.5999999999999999E-2</v>
      </c>
      <c r="H30" s="30">
        <v>1.4E-3</v>
      </c>
      <c r="I30" s="30">
        <v>5.0000000000000001E-4</v>
      </c>
      <c r="J30" s="30">
        <v>4.8500000000000001E-2</v>
      </c>
      <c r="K30" s="30">
        <v>1</v>
      </c>
      <c r="L30" s="30">
        <v>0.7823</v>
      </c>
      <c r="M30" s="30">
        <v>100.77800000000001</v>
      </c>
      <c r="N30" s="30">
        <v>0</v>
      </c>
      <c r="O30" s="30">
        <v>1</v>
      </c>
      <c r="P30" s="30">
        <v>1.4</v>
      </c>
      <c r="Q30" s="30">
        <v>1</v>
      </c>
      <c r="R30" s="30">
        <v>1.1223000000000001</v>
      </c>
      <c r="S30" s="30">
        <v>0.16129032258064516</v>
      </c>
      <c r="T30" s="30">
        <v>62982.15</v>
      </c>
      <c r="U30" s="30">
        <v>50878.09</v>
      </c>
      <c r="V30" s="30">
        <v>37225.93</v>
      </c>
      <c r="W30" s="30">
        <v>0.44</v>
      </c>
      <c r="X30" s="30">
        <v>-0.1</v>
      </c>
      <c r="Y30" s="30">
        <v>-0.62</v>
      </c>
    </row>
    <row r="31" spans="1:25" x14ac:dyDescent="0.25">
      <c r="A31" s="29">
        <v>42094</v>
      </c>
      <c r="B31" s="30">
        <v>8.0000000000000002E-3</v>
      </c>
      <c r="C31" s="30">
        <v>-5.0000000000000001E-3</v>
      </c>
      <c r="D31" s="30">
        <v>1.7000000000000001E-2</v>
      </c>
      <c r="E31" s="30">
        <v>5.5300000000000002E-2</v>
      </c>
      <c r="F31" s="30">
        <v>4.4999999999999998E-2</v>
      </c>
      <c r="G31" s="30">
        <v>4.5999999999999999E-2</v>
      </c>
      <c r="H31" s="30">
        <v>1.1999999999999999E-3</v>
      </c>
      <c r="I31" s="30">
        <v>5.0000000000000001E-4</v>
      </c>
      <c r="J31" s="30">
        <v>5.2499999999999998E-2</v>
      </c>
      <c r="K31" s="30">
        <v>1</v>
      </c>
      <c r="L31" s="30">
        <v>0.7823</v>
      </c>
      <c r="M31" s="30">
        <v>100.77800000000001</v>
      </c>
      <c r="N31" s="30">
        <v>-0.1</v>
      </c>
      <c r="O31" s="30">
        <v>-0.1</v>
      </c>
      <c r="P31" s="30">
        <v>1.1000000000000001</v>
      </c>
      <c r="Q31" s="30">
        <v>1</v>
      </c>
      <c r="R31" s="30">
        <v>1.0833999999999999</v>
      </c>
      <c r="S31" s="30">
        <v>0.16155088852988692</v>
      </c>
      <c r="T31" s="30">
        <v>62982.15</v>
      </c>
      <c r="U31" s="30">
        <v>50878.09</v>
      </c>
      <c r="V31" s="30">
        <v>37225.93</v>
      </c>
      <c r="W31" s="30">
        <v>-0.19</v>
      </c>
      <c r="X31" s="30">
        <v>0.13</v>
      </c>
      <c r="Y31" s="30">
        <v>-0.39</v>
      </c>
    </row>
    <row r="32" spans="1:25" x14ac:dyDescent="0.25">
      <c r="A32" s="29">
        <v>42004</v>
      </c>
      <c r="B32" s="30">
        <v>4.0000000000000001E-3</v>
      </c>
      <c r="C32" s="30">
        <v>8.0000000000000002E-3</v>
      </c>
      <c r="D32" s="30">
        <v>1.7999999999999999E-2</v>
      </c>
      <c r="E32" s="30">
        <v>5.7000000000000002E-2</v>
      </c>
      <c r="F32" s="30">
        <v>4.6300000000000001E-2</v>
      </c>
      <c r="G32" s="30">
        <v>4.5999999999999999E-2</v>
      </c>
      <c r="H32" s="30">
        <v>1.1000000000000001E-3</v>
      </c>
      <c r="I32" s="30">
        <v>5.0000000000000001E-4</v>
      </c>
      <c r="J32" s="30">
        <v>5.2499999999999998E-2</v>
      </c>
      <c r="K32" s="30">
        <v>1</v>
      </c>
      <c r="L32" s="30">
        <v>0.77339999999999998</v>
      </c>
      <c r="M32" s="30">
        <v>101.07210000000001</v>
      </c>
      <c r="N32" s="30">
        <v>1.2</v>
      </c>
      <c r="O32" s="30">
        <v>0.5</v>
      </c>
      <c r="P32" s="30">
        <v>1.4</v>
      </c>
      <c r="Q32" s="30">
        <v>1</v>
      </c>
      <c r="R32" s="30">
        <v>1.2321</v>
      </c>
      <c r="S32" s="30">
        <v>0.16129032258064516</v>
      </c>
      <c r="T32" s="30">
        <v>61446.77</v>
      </c>
      <c r="U32" s="30">
        <v>49700.11</v>
      </c>
      <c r="V32" s="30">
        <v>37265.120000000003</v>
      </c>
      <c r="W32" s="30">
        <v>0.39</v>
      </c>
      <c r="X32" s="30">
        <v>0.13</v>
      </c>
      <c r="Y32" s="30">
        <v>0.04</v>
      </c>
    </row>
    <row r="33" spans="1:25" x14ac:dyDescent="0.25">
      <c r="A33" s="29">
        <v>41912</v>
      </c>
      <c r="B33" s="30">
        <v>1.2E-2</v>
      </c>
      <c r="C33" s="30">
        <v>5.0000000000000001E-3</v>
      </c>
      <c r="D33" s="30">
        <v>1.7999999999999999E-2</v>
      </c>
      <c r="E33" s="30">
        <v>6.0699999999999997E-2</v>
      </c>
      <c r="F33" s="30">
        <v>4.7E-2</v>
      </c>
      <c r="G33" s="30">
        <v>4.5999999999999999E-2</v>
      </c>
      <c r="H33" s="30">
        <v>1E-3</v>
      </c>
      <c r="I33" s="30">
        <v>5.0000000000000001E-4</v>
      </c>
      <c r="J33" s="30">
        <v>5.3999999999999999E-2</v>
      </c>
      <c r="K33" s="30">
        <v>1</v>
      </c>
      <c r="L33" s="30">
        <v>0.77339999999999998</v>
      </c>
      <c r="M33" s="30">
        <v>101.07210000000001</v>
      </c>
      <c r="N33" s="30">
        <v>1.8</v>
      </c>
      <c r="O33" s="30">
        <v>0.8</v>
      </c>
      <c r="P33" s="30">
        <v>1.9</v>
      </c>
      <c r="Q33" s="30">
        <v>1</v>
      </c>
      <c r="R33" s="30">
        <v>1.2907</v>
      </c>
      <c r="S33" s="30">
        <v>0.16286644951140067</v>
      </c>
      <c r="T33" s="30">
        <v>61446.77</v>
      </c>
      <c r="U33" s="30">
        <v>49700.11</v>
      </c>
      <c r="V33" s="30">
        <v>37265.120000000003</v>
      </c>
      <c r="W33" s="30">
        <v>0.17</v>
      </c>
      <c r="X33" s="30">
        <v>-0.13</v>
      </c>
      <c r="Y33" s="30">
        <v>0.23</v>
      </c>
    </row>
    <row r="34" spans="1:25" x14ac:dyDescent="0.25">
      <c r="A34" s="29">
        <v>41820</v>
      </c>
      <c r="B34" s="30">
        <v>1.2999999999999999E-2</v>
      </c>
      <c r="C34" s="30">
        <v>0</v>
      </c>
      <c r="D34" s="30">
        <v>1.7999999999999999E-2</v>
      </c>
      <c r="E34" s="30">
        <v>6.2E-2</v>
      </c>
      <c r="F34" s="30">
        <v>4.7300000000000002E-2</v>
      </c>
      <c r="G34" s="30">
        <v>4.5999999999999999E-2</v>
      </c>
      <c r="H34" s="30">
        <v>8.9999999999999998E-4</v>
      </c>
      <c r="I34" s="30">
        <v>1.5E-3</v>
      </c>
      <c r="J34" s="30">
        <v>5.6000000000000001E-2</v>
      </c>
      <c r="K34" s="30">
        <v>1</v>
      </c>
      <c r="L34" s="30">
        <v>0.77339999999999998</v>
      </c>
      <c r="M34" s="30">
        <v>101.07210000000001</v>
      </c>
      <c r="N34" s="30">
        <v>2.1</v>
      </c>
      <c r="O34" s="30">
        <v>1.1000000000000001</v>
      </c>
      <c r="P34" s="30">
        <v>2.1</v>
      </c>
      <c r="Q34" s="30">
        <v>1</v>
      </c>
      <c r="R34" s="30">
        <v>1.3599000000000001</v>
      </c>
      <c r="S34" s="30">
        <v>0.1610305958132045</v>
      </c>
      <c r="T34" s="30">
        <v>61446.77</v>
      </c>
      <c r="U34" s="30">
        <v>49700.11</v>
      </c>
      <c r="V34" s="30">
        <v>37265.120000000003</v>
      </c>
      <c r="W34" s="30">
        <v>0.05</v>
      </c>
      <c r="X34" s="30">
        <v>0</v>
      </c>
      <c r="Y34" s="30">
        <v>0.35</v>
      </c>
    </row>
    <row r="35" spans="1:25" x14ac:dyDescent="0.25">
      <c r="A35" s="29">
        <v>41729</v>
      </c>
      <c r="B35" s="30">
        <v>-4.0000000000000001E-3</v>
      </c>
      <c r="C35" s="30">
        <v>0.01</v>
      </c>
      <c r="D35" s="30">
        <v>1.7999999999999999E-2</v>
      </c>
      <c r="E35" s="30">
        <v>6.6699999999999995E-2</v>
      </c>
      <c r="F35" s="30">
        <v>4.8000000000000001E-2</v>
      </c>
      <c r="G35" s="30">
        <v>4.5999999999999999E-2</v>
      </c>
      <c r="H35" s="30">
        <v>8.9999999999999998E-4</v>
      </c>
      <c r="I35" s="30">
        <v>2.5000000000000001E-3</v>
      </c>
      <c r="J35" s="30">
        <v>0.06</v>
      </c>
      <c r="K35" s="30">
        <v>1</v>
      </c>
      <c r="L35" s="30">
        <v>0.77339999999999998</v>
      </c>
      <c r="M35" s="30">
        <v>101.07210000000001</v>
      </c>
      <c r="N35" s="30">
        <v>1.4</v>
      </c>
      <c r="O35" s="30">
        <v>1.2</v>
      </c>
      <c r="P35" s="30">
        <v>2.2000000000000002</v>
      </c>
      <c r="Q35" s="30">
        <v>1</v>
      </c>
      <c r="R35" s="30">
        <v>1.3829</v>
      </c>
      <c r="S35" s="30">
        <v>0.1610305958132045</v>
      </c>
      <c r="T35" s="30">
        <v>61446.77</v>
      </c>
      <c r="U35" s="30">
        <v>49700.11</v>
      </c>
      <c r="V35" s="30">
        <v>37265.120000000003</v>
      </c>
      <c r="W35" s="30">
        <v>-0.13</v>
      </c>
      <c r="X35" s="30">
        <v>-7.0000000000000007E-2</v>
      </c>
      <c r="Y35" s="30">
        <v>0.69</v>
      </c>
    </row>
    <row r="36" spans="1:25" x14ac:dyDescent="0.25">
      <c r="A36" s="29">
        <v>41639</v>
      </c>
      <c r="B36" s="30">
        <v>7.0000000000000001E-3</v>
      </c>
      <c r="C36" s="30">
        <v>3.0000000000000001E-3</v>
      </c>
      <c r="D36" s="30">
        <v>1.6E-2</v>
      </c>
      <c r="E36" s="30">
        <v>6.93E-2</v>
      </c>
      <c r="F36" s="30">
        <v>4.8300000000000003E-2</v>
      </c>
      <c r="G36" s="30">
        <v>4.5999999999999999E-2</v>
      </c>
      <c r="H36" s="30">
        <v>6.9999999999999999E-4</v>
      </c>
      <c r="I36" s="30">
        <v>2.5000000000000001E-3</v>
      </c>
      <c r="J36" s="30">
        <v>0.06</v>
      </c>
      <c r="K36" s="30">
        <v>1</v>
      </c>
      <c r="L36" s="30">
        <v>0.77429999999999999</v>
      </c>
      <c r="M36" s="30">
        <v>98.920699999999997</v>
      </c>
      <c r="N36" s="30">
        <v>1.2</v>
      </c>
      <c r="O36" s="30">
        <v>1.3</v>
      </c>
      <c r="P36" s="30">
        <v>2.9</v>
      </c>
      <c r="Q36" s="30">
        <v>1</v>
      </c>
      <c r="R36" s="30">
        <v>1.37</v>
      </c>
      <c r="S36" s="30">
        <v>0.16528925619834711</v>
      </c>
      <c r="T36" s="30">
        <v>60542.46</v>
      </c>
      <c r="U36" s="30">
        <v>48862.17</v>
      </c>
      <c r="V36" s="30">
        <v>37941.660000000003</v>
      </c>
      <c r="W36" s="30">
        <v>0.61</v>
      </c>
      <c r="X36" s="30">
        <v>0.08</v>
      </c>
      <c r="Y36" s="30">
        <v>0.49</v>
      </c>
    </row>
    <row r="37" spans="1:25" x14ac:dyDescent="0.25">
      <c r="A37" s="29">
        <v>41547</v>
      </c>
      <c r="B37" s="30">
        <v>8.0000000000000002E-3</v>
      </c>
      <c r="C37" s="30">
        <v>5.0000000000000001E-3</v>
      </c>
      <c r="D37" s="30">
        <v>2.1000000000000001E-2</v>
      </c>
      <c r="E37" s="30">
        <v>7.2300000000000003E-2</v>
      </c>
      <c r="F37" s="30">
        <v>4.9000000000000002E-2</v>
      </c>
      <c r="G37" s="30">
        <v>4.5999999999999999E-2</v>
      </c>
      <c r="H37" s="30">
        <v>8.9999999999999998E-4</v>
      </c>
      <c r="I37" s="30">
        <v>2.5000000000000001E-3</v>
      </c>
      <c r="J37" s="30">
        <v>0.06</v>
      </c>
      <c r="K37" s="30">
        <v>1</v>
      </c>
      <c r="L37" s="30">
        <v>0.77429999999999999</v>
      </c>
      <c r="M37" s="30">
        <v>98.920699999999997</v>
      </c>
      <c r="N37" s="30">
        <v>1.6</v>
      </c>
      <c r="O37" s="30">
        <v>1.6</v>
      </c>
      <c r="P37" s="30">
        <v>2.7</v>
      </c>
      <c r="Q37" s="30">
        <v>1</v>
      </c>
      <c r="R37" s="30">
        <v>1.3348</v>
      </c>
      <c r="S37" s="30">
        <v>0.16339869281045752</v>
      </c>
      <c r="T37" s="30">
        <v>60542.46</v>
      </c>
      <c r="U37" s="30">
        <v>48862.17</v>
      </c>
      <c r="V37" s="30">
        <v>37941.660000000003</v>
      </c>
      <c r="W37">
        <v>-0.37</v>
      </c>
      <c r="X37" s="30">
        <v>0.12</v>
      </c>
      <c r="Y37" s="30">
        <v>0.28999999999999998</v>
      </c>
    </row>
    <row r="38" spans="1:25" x14ac:dyDescent="0.25">
      <c r="A38" s="29">
        <v>41455</v>
      </c>
      <c r="B38" s="30">
        <v>1E-3</v>
      </c>
      <c r="C38" s="30">
        <v>1.0999999999999999E-2</v>
      </c>
      <c r="D38" s="30">
        <v>1.7000000000000001E-2</v>
      </c>
      <c r="E38" s="30">
        <v>7.5300000000000006E-2</v>
      </c>
      <c r="F38" s="30">
        <v>4.9700000000000001E-2</v>
      </c>
      <c r="G38" s="30">
        <v>4.5999999999999999E-2</v>
      </c>
      <c r="H38" s="30">
        <v>8.0000000000000004E-4</v>
      </c>
      <c r="I38" s="30">
        <v>5.0000000000000001E-3</v>
      </c>
      <c r="J38" s="30">
        <v>0.06</v>
      </c>
      <c r="K38" s="30">
        <v>1</v>
      </c>
      <c r="L38" s="30">
        <v>0.77429999999999999</v>
      </c>
      <c r="M38" s="30">
        <v>98.920699999999997</v>
      </c>
      <c r="N38" s="30">
        <v>1.4</v>
      </c>
      <c r="O38" s="30">
        <v>1.5</v>
      </c>
      <c r="P38" s="30">
        <v>2.4</v>
      </c>
      <c r="Q38" s="30">
        <v>1</v>
      </c>
      <c r="R38" s="30">
        <v>1.3180000000000001</v>
      </c>
      <c r="S38" s="30">
        <v>0.16313213703099511</v>
      </c>
      <c r="T38" s="30">
        <v>60542.46</v>
      </c>
      <c r="U38" s="30">
        <v>48862.17</v>
      </c>
      <c r="V38" s="30">
        <v>37941.660000000003</v>
      </c>
      <c r="W38" s="30">
        <v>-0.03</v>
      </c>
      <c r="X38" s="30">
        <v>0.04</v>
      </c>
      <c r="Y38" s="30">
        <v>-0.28999999999999998</v>
      </c>
    </row>
    <row r="39" spans="1:25" x14ac:dyDescent="0.25">
      <c r="A39" s="29">
        <v>41364</v>
      </c>
      <c r="B39" s="30">
        <v>8.9999999999999993E-3</v>
      </c>
      <c r="C39" s="30">
        <v>-5.0000000000000001E-3</v>
      </c>
      <c r="D39" s="30">
        <v>1.7999999999999999E-2</v>
      </c>
      <c r="E39" s="30">
        <v>7.7299999999999994E-2</v>
      </c>
      <c r="F39" s="30">
        <v>5.0700000000000002E-2</v>
      </c>
      <c r="G39" s="30">
        <v>4.5999999999999999E-2</v>
      </c>
      <c r="H39" s="30">
        <v>1.1999999999999999E-3</v>
      </c>
      <c r="I39" s="30">
        <v>7.4999999999999997E-3</v>
      </c>
      <c r="J39" s="30">
        <v>0.06</v>
      </c>
      <c r="K39" s="30">
        <v>1</v>
      </c>
      <c r="L39" s="30">
        <v>0.77429999999999999</v>
      </c>
      <c r="M39" s="30">
        <v>98.920699999999997</v>
      </c>
      <c r="N39" s="30">
        <v>1.7</v>
      </c>
      <c r="O39" s="30">
        <v>1.5</v>
      </c>
      <c r="P39" s="30">
        <v>2.5</v>
      </c>
      <c r="Q39" s="30">
        <v>1</v>
      </c>
      <c r="R39" s="30">
        <v>1.2965</v>
      </c>
      <c r="S39" s="30">
        <v>0.16129032258064516</v>
      </c>
      <c r="T39" s="30">
        <v>60542.46</v>
      </c>
      <c r="U39" s="30">
        <v>48862.17</v>
      </c>
      <c r="V39" s="30">
        <v>37941.660000000003</v>
      </c>
      <c r="W39" s="30">
        <v>0.08</v>
      </c>
      <c r="X39" s="30">
        <v>0.01</v>
      </c>
      <c r="Y39" s="30">
        <v>-0.8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0EFB-CA40-4AEF-9F7C-C7D7F0B259A9}">
  <dimension ref="A1:Y4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A15" sqref="AA15"/>
    </sheetView>
  </sheetViews>
  <sheetFormatPr baseColWidth="10" defaultRowHeight="15" x14ac:dyDescent="0.25"/>
  <cols>
    <col min="2" max="2" width="22" bestFit="1" customWidth="1"/>
    <col min="3" max="3" width="21.85546875" bestFit="1" customWidth="1"/>
    <col min="4" max="4" width="22.28515625" bestFit="1" customWidth="1"/>
    <col min="5" max="5" width="21.42578125" bestFit="1" customWidth="1"/>
    <col min="6" max="6" width="21.28515625" bestFit="1" customWidth="1"/>
    <col min="7" max="7" width="22.28515625" bestFit="1" customWidth="1"/>
    <col min="8" max="8" width="21.42578125" bestFit="1" customWidth="1"/>
    <col min="9" max="9" width="17" customWidth="1"/>
    <col min="10" max="10" width="21.7109375" bestFit="1" customWidth="1"/>
    <col min="11" max="11" width="13.28515625" bestFit="1" customWidth="1"/>
    <col min="12" max="12" width="13.140625" bestFit="1" customWidth="1"/>
    <col min="13" max="13" width="13" bestFit="1" customWidth="1"/>
    <col min="14" max="14" width="12.7109375" bestFit="1" customWidth="1"/>
    <col min="15" max="15" width="12.5703125" bestFit="1" customWidth="1"/>
    <col min="16" max="16" width="13" bestFit="1" customWidth="1"/>
    <col min="17" max="17" width="18" bestFit="1" customWidth="1"/>
    <col min="18" max="18" width="17.85546875" bestFit="1" customWidth="1"/>
    <col min="19" max="19" width="18.28515625" bestFit="1" customWidth="1"/>
    <col min="20" max="20" width="19.28515625" bestFit="1" customWidth="1"/>
    <col min="21" max="21" width="19.140625" bestFit="1" customWidth="1"/>
    <col min="22" max="22" width="19" bestFit="1" customWidth="1"/>
    <col min="23" max="23" width="18.28515625" bestFit="1" customWidth="1"/>
    <col min="24" max="24" width="18.140625" bestFit="1" customWidth="1"/>
    <col min="25" max="25" width="18.5703125" bestFit="1" customWidth="1"/>
  </cols>
  <sheetData>
    <row r="1" spans="1:25" x14ac:dyDescent="0.25">
      <c r="A1" s="2" t="s">
        <v>114</v>
      </c>
      <c r="B1" s="2" t="s">
        <v>115</v>
      </c>
      <c r="C1" s="2" t="s">
        <v>116</v>
      </c>
      <c r="D1" s="2" t="s">
        <v>117</v>
      </c>
      <c r="E1" s="2" t="s">
        <v>147</v>
      </c>
      <c r="F1" s="2" t="s">
        <v>148</v>
      </c>
      <c r="G1" t="s">
        <v>149</v>
      </c>
      <c r="H1" t="s">
        <v>150</v>
      </c>
      <c r="I1" s="2" t="s">
        <v>151</v>
      </c>
      <c r="J1" s="2" t="s">
        <v>152</v>
      </c>
      <c r="K1" s="2" t="s">
        <v>153</v>
      </c>
      <c r="L1" s="2" t="s">
        <v>154</v>
      </c>
      <c r="M1" s="2" t="s">
        <v>155</v>
      </c>
      <c r="N1" s="2" t="s">
        <v>156</v>
      </c>
      <c r="O1" s="2" t="s">
        <v>157</v>
      </c>
      <c r="P1" s="2" t="s">
        <v>158</v>
      </c>
      <c r="Q1" s="2" t="s">
        <v>159</v>
      </c>
      <c r="R1" s="2" t="s">
        <v>160</v>
      </c>
      <c r="S1" s="2" t="s">
        <v>161</v>
      </c>
      <c r="T1" s="2" t="s">
        <v>162</v>
      </c>
      <c r="U1" s="2" t="s">
        <v>163</v>
      </c>
      <c r="V1" s="2" t="s">
        <v>164</v>
      </c>
      <c r="W1" s="2" t="s">
        <v>165</v>
      </c>
      <c r="X1" s="2" t="s">
        <v>166</v>
      </c>
      <c r="Y1" s="2" t="s">
        <v>167</v>
      </c>
    </row>
    <row r="2" spans="1:25" x14ac:dyDescent="0.25">
      <c r="A2" s="29">
        <v>44742</v>
      </c>
      <c r="B2" s="30">
        <v>-2E-3</v>
      </c>
      <c r="C2" s="30">
        <v>0</v>
      </c>
      <c r="D2" s="30">
        <v>-2.5999999999999999E-2</v>
      </c>
      <c r="E2" s="30">
        <v>-5.9999999999999637E-4</v>
      </c>
      <c r="F2" s="30">
        <v>-1.9999999999999879E-4</v>
      </c>
      <c r="G2" s="30">
        <v>0</v>
      </c>
      <c r="H2" s="30">
        <v>9.8000000000000014E-3</v>
      </c>
      <c r="I2" s="30">
        <v>0</v>
      </c>
      <c r="J2" s="30">
        <v>0</v>
      </c>
      <c r="K2" s="30">
        <v>0</v>
      </c>
      <c r="L2" s="30">
        <v>0</v>
      </c>
      <c r="M2" s="30">
        <v>0</v>
      </c>
      <c r="N2" s="30">
        <v>0.59999999999999964</v>
      </c>
      <c r="O2" s="30">
        <v>1.7999999999999998</v>
      </c>
      <c r="P2" s="30">
        <v>1.0999999999999999</v>
      </c>
      <c r="Q2" s="30">
        <v>0</v>
      </c>
      <c r="R2" s="30">
        <v>-4.3400000000000105E-2</v>
      </c>
      <c r="S2" s="30">
        <v>-7.9789730592321473E-3</v>
      </c>
      <c r="T2" s="30">
        <v>0</v>
      </c>
      <c r="U2" s="30">
        <v>0</v>
      </c>
      <c r="V2" s="30">
        <v>0</v>
      </c>
      <c r="W2" s="30">
        <v>-0.41999999999999993</v>
      </c>
      <c r="X2" s="30">
        <v>0.91000000000000014</v>
      </c>
      <c r="Y2" s="60">
        <v>1.34</v>
      </c>
    </row>
    <row r="3" spans="1:25" x14ac:dyDescent="0.25">
      <c r="A3" s="29">
        <v>44651</v>
      </c>
      <c r="B3" s="30">
        <v>-4.0000000000000001E-3</v>
      </c>
      <c r="C3" s="30">
        <v>8.0000000000000002E-3</v>
      </c>
      <c r="D3" s="30">
        <v>1.4E-2</v>
      </c>
      <c r="E3" s="30">
        <v>-4.2999999999999983E-3</v>
      </c>
      <c r="F3" s="30">
        <v>-2.700000000000001E-3</v>
      </c>
      <c r="G3" s="30">
        <v>-1.0000000000000009E-3</v>
      </c>
      <c r="H3" s="30">
        <v>6.5000000000000006E-3</v>
      </c>
      <c r="I3" s="30">
        <v>0</v>
      </c>
      <c r="J3" s="30">
        <v>-1.0000000000000009E-3</v>
      </c>
      <c r="K3" s="30">
        <v>0</v>
      </c>
      <c r="L3" s="30">
        <v>0</v>
      </c>
      <c r="M3" s="30">
        <v>0</v>
      </c>
      <c r="N3" s="30">
        <v>1.2999999999999998</v>
      </c>
      <c r="O3" s="30">
        <v>0.79999999999999982</v>
      </c>
      <c r="P3" s="30">
        <v>-0.60000000000000009</v>
      </c>
      <c r="Q3" s="30">
        <v>0</v>
      </c>
      <c r="R3" s="30">
        <v>-3.0299999999999994E-2</v>
      </c>
      <c r="S3" s="30">
        <v>0</v>
      </c>
      <c r="T3" s="30">
        <v>0</v>
      </c>
      <c r="U3" s="30">
        <v>0</v>
      </c>
      <c r="V3" s="30">
        <v>0</v>
      </c>
      <c r="W3" s="30">
        <v>-0.54</v>
      </c>
      <c r="X3" s="30">
        <v>-0.81</v>
      </c>
      <c r="Y3" s="60">
        <v>-1.07</v>
      </c>
    </row>
    <row r="4" spans="1:25" x14ac:dyDescent="0.25">
      <c r="A4" s="29">
        <v>44561</v>
      </c>
      <c r="B4" s="30">
        <v>1.7000000000000001E-2</v>
      </c>
      <c r="C4" s="30">
        <v>0</v>
      </c>
      <c r="D4" s="30">
        <v>1.4E-2</v>
      </c>
      <c r="E4" s="30">
        <v>-8.6999999999999994E-3</v>
      </c>
      <c r="F4" s="30">
        <v>-2.0000000000000018E-3</v>
      </c>
      <c r="G4" s="30">
        <v>0</v>
      </c>
      <c r="H4" s="30">
        <v>3.9999999999999986E-4</v>
      </c>
      <c r="I4" s="30">
        <v>0</v>
      </c>
      <c r="J4" s="30">
        <v>-5.0000000000000044E-4</v>
      </c>
      <c r="K4" s="30">
        <v>0</v>
      </c>
      <c r="L4" s="30">
        <v>0</v>
      </c>
      <c r="M4" s="30">
        <v>0</v>
      </c>
      <c r="N4" s="30">
        <v>1.4000000000000004</v>
      </c>
      <c r="O4" s="30">
        <v>1.1000000000000001</v>
      </c>
      <c r="P4" s="30">
        <v>0.8</v>
      </c>
      <c r="Q4" s="30">
        <v>0</v>
      </c>
      <c r="R4" s="30">
        <v>-4.6999999999999931E-2</v>
      </c>
      <c r="S4" s="30">
        <v>2.1939447125932376E-3</v>
      </c>
      <c r="T4" s="30">
        <v>0</v>
      </c>
      <c r="U4" s="30">
        <v>0</v>
      </c>
      <c r="V4" s="30">
        <v>0</v>
      </c>
      <c r="W4" s="30">
        <v>5.0000000000000017E-2</v>
      </c>
      <c r="X4" s="30">
        <v>-0.7</v>
      </c>
      <c r="Y4" s="60">
        <v>-0.48000000000000004</v>
      </c>
    </row>
    <row r="5" spans="1:25" x14ac:dyDescent="0.25">
      <c r="A5" s="29">
        <v>44469</v>
      </c>
      <c r="B5" s="30">
        <v>6.0000000000000001E-3</v>
      </c>
      <c r="C5" s="30">
        <v>7.0000000000000001E-3</v>
      </c>
      <c r="D5" s="30">
        <v>4.0000000000000001E-3</v>
      </c>
      <c r="E5" s="30">
        <v>-8.0000000000000002E-3</v>
      </c>
      <c r="F5" s="30">
        <v>-2.2999999999999965E-3</v>
      </c>
      <c r="G5" s="30">
        <v>0</v>
      </c>
      <c r="H5" s="30">
        <v>-9.9999999999999937E-5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0.5</v>
      </c>
      <c r="O5" s="30">
        <v>1.6</v>
      </c>
      <c r="P5" s="30">
        <v>-0.30000000000000004</v>
      </c>
      <c r="Q5" s="30">
        <v>0</v>
      </c>
      <c r="R5" s="30">
        <v>-2.6499999999999968E-2</v>
      </c>
      <c r="S5" s="30">
        <v>4.7925428033979145E-4</v>
      </c>
      <c r="T5" s="30">
        <v>0</v>
      </c>
      <c r="U5" s="30">
        <v>0</v>
      </c>
      <c r="V5" s="30">
        <v>0</v>
      </c>
      <c r="W5" s="30">
        <v>0</v>
      </c>
      <c r="X5" s="30">
        <v>-0.17999999999999994</v>
      </c>
      <c r="Y5" s="60">
        <v>0.38</v>
      </c>
    </row>
    <row r="6" spans="1:25" x14ac:dyDescent="0.25">
      <c r="A6" s="29">
        <v>44377</v>
      </c>
      <c r="B6" s="30">
        <v>1.6E-2</v>
      </c>
      <c r="C6" s="30">
        <v>0.02</v>
      </c>
      <c r="D6" s="30">
        <v>1.4999999999999999E-2</v>
      </c>
      <c r="E6" s="30">
        <v>-3.0000000000000027E-3</v>
      </c>
      <c r="F6" s="30">
        <v>-1.7000000000000001E-3</v>
      </c>
      <c r="G6" s="30">
        <v>0</v>
      </c>
      <c r="H6" s="30">
        <v>1.9999999999999998E-4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2.9</v>
      </c>
      <c r="O6" s="30">
        <v>0.89999999999999991</v>
      </c>
      <c r="P6" s="30">
        <v>1.4000000000000001</v>
      </c>
      <c r="Q6" s="30">
        <v>0</v>
      </c>
      <c r="R6" s="30">
        <v>1.3600000000000056E-2</v>
      </c>
      <c r="S6" s="30">
        <v>2.3525038875126802E-3</v>
      </c>
      <c r="T6" s="30">
        <v>0</v>
      </c>
      <c r="U6" s="30">
        <v>0</v>
      </c>
      <c r="V6" s="30">
        <v>0</v>
      </c>
      <c r="W6" s="30">
        <v>-0.45000000000000007</v>
      </c>
      <c r="X6" s="30">
        <v>0.17999999999999994</v>
      </c>
      <c r="Y6" s="60">
        <v>0.81</v>
      </c>
    </row>
    <row r="7" spans="1:25" x14ac:dyDescent="0.25">
      <c r="A7" s="29">
        <v>44286</v>
      </c>
      <c r="B7" s="30">
        <v>1.4999999999999999E-2</v>
      </c>
      <c r="C7" s="30">
        <v>-1.4999999999999999E-2</v>
      </c>
      <c r="D7" s="30">
        <v>6.0000000000000001E-3</v>
      </c>
      <c r="E7" s="30">
        <v>-5.6999999999999967E-3</v>
      </c>
      <c r="F7" s="30">
        <v>-3.0000000000000165E-4</v>
      </c>
      <c r="G7" s="30">
        <v>-2.0000000000000018E-3</v>
      </c>
      <c r="H7" s="30">
        <v>-1.0000000000000005E-4</v>
      </c>
      <c r="I7" s="30">
        <v>0</v>
      </c>
      <c r="J7" s="30">
        <v>0</v>
      </c>
      <c r="K7" s="30">
        <v>0</v>
      </c>
      <c r="L7" s="30">
        <v>-3.4999999999999476E-3</v>
      </c>
      <c r="M7" s="30">
        <v>-0.84910000000000707</v>
      </c>
      <c r="N7" s="30">
        <v>0.7</v>
      </c>
      <c r="O7" s="30">
        <v>1.7</v>
      </c>
      <c r="P7" s="30">
        <v>-0.2</v>
      </c>
      <c r="Q7" s="30">
        <v>0</v>
      </c>
      <c r="R7" s="30">
        <v>-2.7300000000000102E-2</v>
      </c>
      <c r="S7" s="30">
        <v>-9.3235529263135941E-4</v>
      </c>
      <c r="T7" s="30">
        <v>1473.6100000000006</v>
      </c>
      <c r="U7" s="30">
        <v>486.67000000000553</v>
      </c>
      <c r="V7" s="30">
        <v>1907.1200000000026</v>
      </c>
      <c r="W7" s="30">
        <v>0.35000000000000003</v>
      </c>
      <c r="X7" s="30">
        <v>0.27</v>
      </c>
      <c r="Y7" s="60">
        <v>-0.4</v>
      </c>
    </row>
    <row r="8" spans="1:25" x14ac:dyDescent="0.25">
      <c r="A8" s="29">
        <v>44196</v>
      </c>
      <c r="B8" s="30">
        <v>1.0999999999999999E-2</v>
      </c>
      <c r="C8" s="30">
        <v>6.0000000000000001E-3</v>
      </c>
      <c r="D8" s="30">
        <v>2.4E-2</v>
      </c>
      <c r="E8" s="30">
        <v>-2.0600000000000007E-2</v>
      </c>
      <c r="F8" s="30">
        <v>3.0000000000000165E-4</v>
      </c>
      <c r="G8" s="30">
        <v>0</v>
      </c>
      <c r="H8" s="30">
        <v>-9.9999999999999937E-5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-0.19999999999999998</v>
      </c>
      <c r="P8" s="30">
        <v>-1.9</v>
      </c>
      <c r="Q8" s="30">
        <v>0</v>
      </c>
      <c r="R8" s="30">
        <v>3.8799999999999946E-2</v>
      </c>
      <c r="S8" s="30">
        <v>5.8639518073375918E-3</v>
      </c>
      <c r="T8" s="30">
        <v>0</v>
      </c>
      <c r="U8" s="30">
        <v>0</v>
      </c>
      <c r="V8" s="30">
        <v>0</v>
      </c>
      <c r="W8" s="30">
        <v>-0.21000000000000002</v>
      </c>
      <c r="X8" s="30">
        <v>7.0000000000000007E-2</v>
      </c>
      <c r="Y8" s="60">
        <v>-0.85</v>
      </c>
    </row>
    <row r="9" spans="1:25" x14ac:dyDescent="0.25">
      <c r="A9" s="29">
        <v>44104</v>
      </c>
      <c r="B9" s="30">
        <v>7.4999999999999997E-2</v>
      </c>
      <c r="C9" s="30">
        <v>0.09</v>
      </c>
      <c r="D9" s="30">
        <v>3.3000000000000002E-2</v>
      </c>
      <c r="E9" s="30">
        <v>-4.1400000000000006E-2</v>
      </c>
      <c r="F9" s="30">
        <v>2.3999999999999994E-3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0.79999999999999993</v>
      </c>
      <c r="O9" s="30">
        <v>-0.9</v>
      </c>
      <c r="P9" s="30">
        <v>-0.70000000000000018</v>
      </c>
      <c r="Q9" s="30">
        <v>0</v>
      </c>
      <c r="R9" s="30">
        <v>5.3400000000000114E-2</v>
      </c>
      <c r="S9" s="30">
        <v>5.8326893072223329E-3</v>
      </c>
      <c r="T9" s="30">
        <v>0</v>
      </c>
      <c r="U9" s="30">
        <v>0</v>
      </c>
      <c r="V9" s="30">
        <v>0</v>
      </c>
      <c r="W9" s="30">
        <v>4.0000000000000036E-2</v>
      </c>
      <c r="X9" s="30">
        <v>-0.6100000000000001</v>
      </c>
      <c r="Y9" s="60">
        <v>1.03</v>
      </c>
    </row>
    <row r="10" spans="1:25" x14ac:dyDescent="0.25">
      <c r="A10" s="29">
        <v>44012</v>
      </c>
      <c r="B10" s="30">
        <v>-8.8999999999999996E-2</v>
      </c>
      <c r="C10" s="30">
        <v>-9.4E-2</v>
      </c>
      <c r="D10" s="30">
        <v>0.11700000000000001</v>
      </c>
      <c r="E10" s="30">
        <v>9.1700000000000004E-2</v>
      </c>
      <c r="F10" s="30">
        <v>3.2999999999999974E-3</v>
      </c>
      <c r="G10" s="30">
        <v>0</v>
      </c>
      <c r="H10" s="30">
        <v>3.0000000000000003E-4</v>
      </c>
      <c r="I10" s="30">
        <v>0</v>
      </c>
      <c r="J10" s="30">
        <v>-2.0000000000000018E-3</v>
      </c>
      <c r="K10" s="30">
        <v>0</v>
      </c>
      <c r="L10" s="30">
        <v>0</v>
      </c>
      <c r="M10" s="30">
        <v>0</v>
      </c>
      <c r="N10" s="30">
        <v>-1.7000000000000002</v>
      </c>
      <c r="O10" s="30">
        <v>-0.8</v>
      </c>
      <c r="P10" s="30">
        <v>-2.2999999999999998</v>
      </c>
      <c r="Q10" s="30">
        <v>0</v>
      </c>
      <c r="R10" s="30">
        <v>1.9900000000000029E-2</v>
      </c>
      <c r="S10" s="30">
        <v>3.9899214583960507E-4</v>
      </c>
      <c r="T10" s="30">
        <v>0</v>
      </c>
      <c r="U10" s="30">
        <v>0</v>
      </c>
      <c r="V10" s="30">
        <v>0</v>
      </c>
      <c r="W10" s="30">
        <v>1.44</v>
      </c>
      <c r="X10" s="30">
        <v>1.3900000000000001</v>
      </c>
      <c r="Y10" s="60">
        <v>-0.91999999999999993</v>
      </c>
    </row>
    <row r="11" spans="1:25" x14ac:dyDescent="0.25">
      <c r="A11" s="29">
        <v>43921</v>
      </c>
      <c r="B11" s="30">
        <v>-1.2999999999999999E-2</v>
      </c>
      <c r="C11" s="30">
        <v>-1.4999999999999999E-2</v>
      </c>
      <c r="D11" s="30">
        <v>-0.10299999999999999</v>
      </c>
      <c r="E11" s="30">
        <v>2.0000000000000018E-3</v>
      </c>
      <c r="F11" s="30">
        <v>2.3E-3</v>
      </c>
      <c r="G11" s="30">
        <v>5.0000000000000044E-3</v>
      </c>
      <c r="H11" s="30">
        <v>-1.2E-2</v>
      </c>
      <c r="I11" s="30">
        <v>0</v>
      </c>
      <c r="J11" s="30">
        <v>-1.0000000000000009E-3</v>
      </c>
      <c r="K11" s="30">
        <v>0</v>
      </c>
      <c r="L11" s="30">
        <v>-1.4700000000000046E-2</v>
      </c>
      <c r="M11" s="30">
        <v>-3.4025000000000034</v>
      </c>
      <c r="N11" s="30">
        <v>0.10000000000000009</v>
      </c>
      <c r="O11" s="30">
        <v>0.40000000000000013</v>
      </c>
      <c r="P11" s="30">
        <v>0.79999999999999982</v>
      </c>
      <c r="Q11" s="30">
        <v>0</v>
      </c>
      <c r="R11" s="30">
        <v>-5.6000000000000494E-3</v>
      </c>
      <c r="S11" s="30">
        <v>-2.4282994012218284E-3</v>
      </c>
      <c r="T11" s="30">
        <v>3556.2299999999959</v>
      </c>
      <c r="U11" s="30">
        <v>-296.37000000000262</v>
      </c>
      <c r="V11" s="30">
        <v>-102.61000000000058</v>
      </c>
      <c r="W11" s="30">
        <v>-1.1599999999999999</v>
      </c>
      <c r="X11" s="30">
        <v>-0.5</v>
      </c>
      <c r="Y11" s="60">
        <v>0.18999999999999995</v>
      </c>
    </row>
    <row r="12" spans="1:25" x14ac:dyDescent="0.25">
      <c r="A12" s="29">
        <v>43830</v>
      </c>
      <c r="B12" s="30">
        <v>5.0000000000000001E-3</v>
      </c>
      <c r="C12" s="30">
        <v>2E-3</v>
      </c>
      <c r="D12" s="30">
        <v>1.2E-2</v>
      </c>
      <c r="E12" s="30">
        <v>-3.0000000000000165E-4</v>
      </c>
      <c r="F12" s="30">
        <v>1.7000000000000001E-3</v>
      </c>
      <c r="G12" s="30">
        <v>0</v>
      </c>
      <c r="H12" s="30">
        <v>-3.8000000000000013E-3</v>
      </c>
      <c r="I12" s="30">
        <v>0</v>
      </c>
      <c r="J12" s="30">
        <v>-5.0000000000000044E-4</v>
      </c>
      <c r="K12" s="30">
        <v>0</v>
      </c>
      <c r="L12" s="30">
        <v>0</v>
      </c>
      <c r="M12" s="30">
        <v>0</v>
      </c>
      <c r="N12" s="30">
        <v>0.19999999999999996</v>
      </c>
      <c r="O12" s="30">
        <v>-0.30000000000000004</v>
      </c>
      <c r="P12" s="30">
        <v>1.3000000000000003</v>
      </c>
      <c r="Q12" s="30">
        <v>0</v>
      </c>
      <c r="R12" s="30">
        <v>8.799999999999919E-3</v>
      </c>
      <c r="S12" s="30">
        <v>3.6118830953838221E-3</v>
      </c>
      <c r="T12" s="30">
        <v>0</v>
      </c>
      <c r="U12" s="30">
        <v>0</v>
      </c>
      <c r="V12" s="30">
        <v>0</v>
      </c>
      <c r="W12" s="30">
        <v>-8.0000000000000016E-2</v>
      </c>
      <c r="X12" s="30">
        <v>-0.4</v>
      </c>
      <c r="Y12" s="60">
        <v>4.0000000000000036E-2</v>
      </c>
    </row>
    <row r="13" spans="1:25" x14ac:dyDescent="0.25">
      <c r="A13" s="29">
        <v>43738</v>
      </c>
      <c r="B13" s="30">
        <v>7.0000000000000001E-3</v>
      </c>
      <c r="C13" s="30">
        <v>1E-3</v>
      </c>
      <c r="D13" s="30">
        <v>1.4E-2</v>
      </c>
      <c r="E13" s="30">
        <v>3.0000000000000165E-4</v>
      </c>
      <c r="F13" s="30">
        <v>-2.9999999999999818E-4</v>
      </c>
      <c r="G13" s="30">
        <v>0</v>
      </c>
      <c r="H13" s="30">
        <v>-5.4999999999999979E-3</v>
      </c>
      <c r="I13" s="30">
        <v>0</v>
      </c>
      <c r="J13" s="30">
        <v>-1.4999999999999944E-3</v>
      </c>
      <c r="K13" s="30">
        <v>0</v>
      </c>
      <c r="L13" s="30">
        <v>0</v>
      </c>
      <c r="M13" s="30">
        <v>0</v>
      </c>
      <c r="N13" s="30">
        <v>0</v>
      </c>
      <c r="O13" s="30">
        <v>-0.19999999999999996</v>
      </c>
      <c r="P13" s="30">
        <v>0.19999999999999973</v>
      </c>
      <c r="Q13" s="30">
        <v>0</v>
      </c>
      <c r="R13" s="30">
        <v>-2.7800000000000047E-2</v>
      </c>
      <c r="S13" s="30">
        <v>-5.2777411267977414E-3</v>
      </c>
      <c r="T13" s="30">
        <v>0</v>
      </c>
      <c r="U13" s="30">
        <v>0</v>
      </c>
      <c r="V13" s="30">
        <v>0</v>
      </c>
      <c r="W13" s="30">
        <v>0.42000000000000004</v>
      </c>
      <c r="X13" s="30">
        <v>0.36</v>
      </c>
      <c r="Y13" s="60">
        <v>-0.10999999999999999</v>
      </c>
    </row>
    <row r="14" spans="1:25" x14ac:dyDescent="0.25">
      <c r="A14" s="29">
        <v>43646</v>
      </c>
      <c r="B14" s="30">
        <v>8.0000000000000002E-3</v>
      </c>
      <c r="C14" s="30">
        <v>-1E-3</v>
      </c>
      <c r="D14" s="30">
        <v>1.2999999999999999E-2</v>
      </c>
      <c r="E14" s="30">
        <v>-2.700000000000001E-3</v>
      </c>
      <c r="F14" s="30">
        <v>-1.0000000000000009E-3</v>
      </c>
      <c r="G14" s="30">
        <v>0</v>
      </c>
      <c r="H14" s="30">
        <v>-2.1000000000000012E-3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0.19999999999999996</v>
      </c>
      <c r="O14" s="30">
        <v>0.30000000000000004</v>
      </c>
      <c r="P14" s="30">
        <v>0.90000000000000013</v>
      </c>
      <c r="Q14" s="30">
        <v>0</v>
      </c>
      <c r="R14" s="30">
        <v>3.00000000000189E-4</v>
      </c>
      <c r="S14" s="30">
        <v>-3.6716428225862241E-3</v>
      </c>
      <c r="T14" s="30">
        <v>0</v>
      </c>
      <c r="U14" s="30">
        <v>0</v>
      </c>
      <c r="V14" s="30">
        <v>0</v>
      </c>
      <c r="W14" s="30">
        <v>-0.51</v>
      </c>
      <c r="X14" s="30">
        <v>-0.22999999999999998</v>
      </c>
      <c r="Y14" s="60">
        <v>0.62</v>
      </c>
    </row>
    <row r="15" spans="1:25" x14ac:dyDescent="0.25">
      <c r="A15" s="29">
        <v>43555</v>
      </c>
      <c r="B15" s="30">
        <v>6.0000000000000001E-3</v>
      </c>
      <c r="C15" s="30">
        <v>7.0000000000000001E-3</v>
      </c>
      <c r="D15" s="30">
        <v>1.7999999999999999E-2</v>
      </c>
      <c r="E15" s="30">
        <v>3.9999999999999758E-4</v>
      </c>
      <c r="F15" s="30">
        <v>-6.9999999999999923E-4</v>
      </c>
      <c r="G15" s="30">
        <v>2.0000000000000018E-3</v>
      </c>
      <c r="H15" s="30">
        <v>0</v>
      </c>
      <c r="I15" s="30">
        <v>0</v>
      </c>
      <c r="J15" s="30">
        <v>0</v>
      </c>
      <c r="K15" s="30">
        <v>0</v>
      </c>
      <c r="L15" s="30">
        <v>2.2100000000000009E-2</v>
      </c>
      <c r="M15" s="30">
        <v>1.395300000000006</v>
      </c>
      <c r="N15" s="30">
        <v>-0.60000000000000009</v>
      </c>
      <c r="O15" s="30">
        <v>-0.60000000000000009</v>
      </c>
      <c r="P15" s="30">
        <v>-0.40000000000000013</v>
      </c>
      <c r="Q15" s="30">
        <v>0</v>
      </c>
      <c r="R15" s="30">
        <v>-7.9000000000000181E-3</v>
      </c>
      <c r="S15" s="30">
        <v>3.2491162403826268E-3</v>
      </c>
      <c r="T15" s="30">
        <v>1438.8800000000047</v>
      </c>
      <c r="U15" s="30">
        <v>1111.8099999999977</v>
      </c>
      <c r="V15" s="30">
        <v>424.30000000000291</v>
      </c>
      <c r="W15" s="30">
        <v>0.31</v>
      </c>
      <c r="X15" s="30">
        <v>0.11</v>
      </c>
      <c r="Y15" s="60">
        <v>-0.4</v>
      </c>
    </row>
    <row r="16" spans="1:25" x14ac:dyDescent="0.25">
      <c r="A16" s="29">
        <v>43465</v>
      </c>
      <c r="B16" s="30">
        <v>2E-3</v>
      </c>
      <c r="C16" s="30">
        <v>8.0000000000000002E-3</v>
      </c>
      <c r="D16" s="30">
        <v>1.4E-2</v>
      </c>
      <c r="E16" s="30">
        <v>6.0000000000000331E-4</v>
      </c>
      <c r="F16" s="30">
        <v>-1.0000000000000009E-3</v>
      </c>
      <c r="G16" s="30">
        <v>0</v>
      </c>
      <c r="H16" s="30">
        <v>1.7999999999999995E-3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-0.39999999999999991</v>
      </c>
      <c r="O16" s="30">
        <v>0.10000000000000009</v>
      </c>
      <c r="P16" s="30">
        <v>-9.9999999999999645E-2</v>
      </c>
      <c r="Q16" s="30">
        <v>0</v>
      </c>
      <c r="R16" s="30">
        <v>-2.7900000000000036E-2</v>
      </c>
      <c r="S16" s="30">
        <v>0</v>
      </c>
      <c r="T16" s="30">
        <v>0</v>
      </c>
      <c r="U16" s="30">
        <v>0</v>
      </c>
      <c r="V16" s="30">
        <v>0</v>
      </c>
      <c r="W16" s="30">
        <v>-0.25</v>
      </c>
      <c r="X16" s="30">
        <v>-6.9999999999999993E-2</v>
      </c>
      <c r="Y16" s="60">
        <v>0.16</v>
      </c>
    </row>
    <row r="17" spans="1:25" x14ac:dyDescent="0.25">
      <c r="A17" s="29">
        <v>43373</v>
      </c>
      <c r="B17" s="30">
        <v>5.0000000000000001E-3</v>
      </c>
      <c r="C17" s="30">
        <v>-8.0000000000000002E-3</v>
      </c>
      <c r="D17" s="30">
        <v>1.4E-2</v>
      </c>
      <c r="E17" s="30">
        <v>-1.6000000000000042E-3</v>
      </c>
      <c r="F17" s="30">
        <v>-3.0000000000000165E-4</v>
      </c>
      <c r="G17" s="30">
        <v>0</v>
      </c>
      <c r="H17" s="30">
        <v>3.0000000000000027E-3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-0.10000000000000009</v>
      </c>
      <c r="O17" s="30">
        <v>0.19999999999999996</v>
      </c>
      <c r="P17" s="30">
        <v>0.59999999999999987</v>
      </c>
      <c r="Q17" s="30">
        <v>0</v>
      </c>
      <c r="R17" s="30">
        <v>-2.3999999999999577E-3</v>
      </c>
      <c r="S17" s="30">
        <v>-5.4969942435476316E-3</v>
      </c>
      <c r="T17" s="30">
        <v>0</v>
      </c>
      <c r="U17" s="30">
        <v>0</v>
      </c>
      <c r="V17" s="30">
        <v>0</v>
      </c>
      <c r="W17" s="30">
        <v>0.28999999999999998</v>
      </c>
      <c r="X17" s="30">
        <v>0.01</v>
      </c>
      <c r="Y17" s="60">
        <v>0.63</v>
      </c>
    </row>
    <row r="18" spans="1:25" x14ac:dyDescent="0.25">
      <c r="A18" s="29">
        <v>43281</v>
      </c>
      <c r="B18" s="30">
        <v>8.0000000000000002E-3</v>
      </c>
      <c r="C18" s="30">
        <v>8.0000000000000002E-3</v>
      </c>
      <c r="D18" s="30">
        <v>1.6E-2</v>
      </c>
      <c r="E18" s="30">
        <v>-1.0000000000000009E-3</v>
      </c>
      <c r="F18" s="30">
        <v>-6.9999999999999923E-4</v>
      </c>
      <c r="G18" s="30">
        <v>0</v>
      </c>
      <c r="H18" s="30">
        <v>1.7999999999999995E-3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0.5</v>
      </c>
      <c r="O18" s="30">
        <v>0.39999999999999991</v>
      </c>
      <c r="P18" s="30">
        <v>-0.40000000000000013</v>
      </c>
      <c r="Q18" s="30">
        <v>0</v>
      </c>
      <c r="R18" s="30">
        <v>-6.5000000000000169E-2</v>
      </c>
      <c r="S18" s="30">
        <v>-8.432231361154896E-3</v>
      </c>
      <c r="T18" s="30">
        <v>0</v>
      </c>
      <c r="U18" s="30">
        <v>0</v>
      </c>
      <c r="V18" s="30">
        <v>0</v>
      </c>
      <c r="W18" s="30">
        <v>-0.12000000000000001</v>
      </c>
      <c r="X18" s="30">
        <v>0.08</v>
      </c>
      <c r="Y18" s="60">
        <v>-0.42000000000000004</v>
      </c>
    </row>
    <row r="19" spans="1:25" x14ac:dyDescent="0.25">
      <c r="A19" s="29">
        <v>43190</v>
      </c>
      <c r="B19" s="30">
        <v>8.0000000000000002E-3</v>
      </c>
      <c r="C19" s="30">
        <v>-6.0000000000000001E-3</v>
      </c>
      <c r="D19" s="30">
        <v>1.9E-2</v>
      </c>
      <c r="E19" s="30">
        <v>-1.3999999999999985E-3</v>
      </c>
      <c r="F19" s="30">
        <v>-1.2999999999999956E-3</v>
      </c>
      <c r="G19" s="30">
        <v>-1.0000000000000078E-3</v>
      </c>
      <c r="H19" s="30">
        <v>2.8999999999999981E-3</v>
      </c>
      <c r="I19" s="30">
        <v>0</v>
      </c>
      <c r="J19" s="30">
        <v>0</v>
      </c>
      <c r="K19" s="30">
        <v>0</v>
      </c>
      <c r="L19" s="30">
        <v>-8.80000000000003E-3</v>
      </c>
      <c r="M19" s="30">
        <v>-1.594300000000004</v>
      </c>
      <c r="N19" s="30">
        <v>0.10000000000000009</v>
      </c>
      <c r="O19" s="30">
        <v>-9.9999999999999867E-2</v>
      </c>
      <c r="P19" s="30">
        <v>0.30000000000000004</v>
      </c>
      <c r="Q19" s="30">
        <v>0</v>
      </c>
      <c r="R19" s="30">
        <v>4.8499999999999988E-2</v>
      </c>
      <c r="S19" s="30">
        <v>5.8798021446578308E-3</v>
      </c>
      <c r="T19" s="30">
        <v>662.36000000000058</v>
      </c>
      <c r="U19" s="30">
        <v>748.24000000000524</v>
      </c>
      <c r="V19" s="30">
        <v>108.45999999999913</v>
      </c>
      <c r="W19" s="30">
        <v>0.35</v>
      </c>
      <c r="X19" s="30">
        <v>-0.08</v>
      </c>
      <c r="Y19" s="60">
        <v>-0.42</v>
      </c>
    </row>
    <row r="20" spans="1:25" x14ac:dyDescent="0.25">
      <c r="A20" s="29">
        <v>43100</v>
      </c>
      <c r="B20" s="30">
        <v>8.9999999999999993E-3</v>
      </c>
      <c r="C20" s="30">
        <v>8.9999999999999993E-3</v>
      </c>
      <c r="D20" s="30">
        <v>1.6E-2</v>
      </c>
      <c r="E20" s="30">
        <v>-1.5999999999999973E-3</v>
      </c>
      <c r="F20" s="30">
        <v>-7.0000000000000617E-4</v>
      </c>
      <c r="G20" s="30">
        <v>0</v>
      </c>
      <c r="H20" s="30">
        <v>2.5000000000000005E-3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0.10000000000000009</v>
      </c>
      <c r="O20" s="30">
        <v>-0.20000000000000018</v>
      </c>
      <c r="P20" s="30">
        <v>0.19999999999999996</v>
      </c>
      <c r="Q20" s="30">
        <v>0</v>
      </c>
      <c r="R20" s="30">
        <v>-6.6999999999999282E-3</v>
      </c>
      <c r="S20" s="30">
        <v>3.2338911795618264E-3</v>
      </c>
      <c r="T20" s="30">
        <v>0</v>
      </c>
      <c r="U20" s="30">
        <v>0</v>
      </c>
      <c r="V20" s="30">
        <v>0</v>
      </c>
      <c r="W20" s="30">
        <v>-6.9999999999999979E-2</v>
      </c>
      <c r="X20" s="30">
        <v>0.02</v>
      </c>
      <c r="Y20" s="60">
        <v>-0.46</v>
      </c>
    </row>
    <row r="21" spans="1:25" x14ac:dyDescent="0.25">
      <c r="A21" s="29">
        <v>43008</v>
      </c>
      <c r="B21" s="30">
        <v>7.0000000000000001E-3</v>
      </c>
      <c r="C21" s="30">
        <v>7.0000000000000001E-3</v>
      </c>
      <c r="D21" s="30">
        <v>1.6E-2</v>
      </c>
      <c r="E21" s="30">
        <v>-4.0000000000000452E-4</v>
      </c>
      <c r="F21" s="30">
        <v>-9.9999999999999395E-4</v>
      </c>
      <c r="G21" s="30">
        <v>0</v>
      </c>
      <c r="H21" s="30">
        <v>5.0000000000000044E-4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0.10000000000000009</v>
      </c>
      <c r="O21" s="30">
        <v>0.20000000000000018</v>
      </c>
      <c r="P21" s="30">
        <v>0.10000000000000009</v>
      </c>
      <c r="Q21" s="30">
        <v>0</v>
      </c>
      <c r="R21" s="30">
        <v>6.150000000000011E-2</v>
      </c>
      <c r="S21" s="30">
        <v>2.8833144808924904E-3</v>
      </c>
      <c r="T21" s="30">
        <v>0</v>
      </c>
      <c r="U21" s="30">
        <v>0</v>
      </c>
      <c r="V21" s="30">
        <v>0</v>
      </c>
      <c r="W21" s="30">
        <v>1.999999999999999E-2</v>
      </c>
      <c r="X21" s="30">
        <v>-0.15</v>
      </c>
      <c r="Y21" s="60">
        <v>0.45</v>
      </c>
    </row>
    <row r="22" spans="1:25" x14ac:dyDescent="0.25">
      <c r="A22" s="29">
        <v>42916</v>
      </c>
      <c r="B22" s="30">
        <v>6.0000000000000001E-3</v>
      </c>
      <c r="C22" s="30">
        <v>8.9999999999999993E-3</v>
      </c>
      <c r="D22" s="30">
        <v>1.7000000000000001E-2</v>
      </c>
      <c r="E22" s="30">
        <v>-1.9999999999999948E-3</v>
      </c>
      <c r="F22" s="30">
        <v>-7.0000000000000617E-4</v>
      </c>
      <c r="G22" s="30">
        <v>0</v>
      </c>
      <c r="H22" s="30">
        <v>2E-3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-0.60000000000000009</v>
      </c>
      <c r="O22" s="30">
        <v>-0.20000000000000018</v>
      </c>
      <c r="P22" s="30">
        <v>0.10000000000000009</v>
      </c>
      <c r="Q22" s="30">
        <v>0</v>
      </c>
      <c r="R22" s="30">
        <v>6.0200000000000031E-2</v>
      </c>
      <c r="S22" s="30">
        <v>2.3547443817939773E-3</v>
      </c>
      <c r="T22" s="30">
        <v>0</v>
      </c>
      <c r="U22" s="30">
        <v>0</v>
      </c>
      <c r="V22" s="30">
        <v>0</v>
      </c>
      <c r="W22" s="30">
        <v>-0.21000000000000002</v>
      </c>
      <c r="X22" s="30">
        <v>-1.999999999999999E-2</v>
      </c>
      <c r="Y22" s="60">
        <v>0.42000000000000004</v>
      </c>
    </row>
    <row r="23" spans="1:25" x14ac:dyDescent="0.25">
      <c r="A23" s="29">
        <v>42825</v>
      </c>
      <c r="B23" s="30">
        <v>5.0000000000000001E-3</v>
      </c>
      <c r="C23" s="30">
        <v>1.2E-2</v>
      </c>
      <c r="D23" s="30">
        <v>1.7999999999999999E-2</v>
      </c>
      <c r="E23" s="30">
        <v>-2.0000000000000018E-3</v>
      </c>
      <c r="F23" s="30">
        <v>-5.9999999999999637E-4</v>
      </c>
      <c r="G23" s="30">
        <v>-9.9999999999999395E-4</v>
      </c>
      <c r="H23" s="30">
        <v>2.4999999999999996E-3</v>
      </c>
      <c r="I23" s="30">
        <v>0</v>
      </c>
      <c r="J23" s="30">
        <v>0</v>
      </c>
      <c r="K23" s="30">
        <v>0</v>
      </c>
      <c r="L23" s="30">
        <v>-4.5999999999999375E-3</v>
      </c>
      <c r="M23" s="30">
        <v>-1.0019999999999953</v>
      </c>
      <c r="N23" s="30">
        <v>0.7</v>
      </c>
      <c r="O23" s="30">
        <v>0.60000000000000009</v>
      </c>
      <c r="P23" s="30">
        <v>-0.80000000000000027</v>
      </c>
      <c r="Q23" s="30">
        <v>0</v>
      </c>
      <c r="R23" s="30">
        <v>1.5699999999999825E-2</v>
      </c>
      <c r="S23" s="30">
        <v>6.2921046670635916E-4</v>
      </c>
      <c r="T23" s="30">
        <v>655.07999999999447</v>
      </c>
      <c r="U23" s="30">
        <v>558.32999999999447</v>
      </c>
      <c r="V23" s="30">
        <v>188.40000000000146</v>
      </c>
      <c r="W23" s="30">
        <v>-0.31</v>
      </c>
      <c r="X23" s="30">
        <v>4.9999999999999989E-2</v>
      </c>
      <c r="Y23" s="60">
        <v>-0.2</v>
      </c>
    </row>
    <row r="24" spans="1:25" x14ac:dyDescent="0.25">
      <c r="A24" s="29">
        <v>42735</v>
      </c>
      <c r="B24" s="30">
        <v>5.0000000000000001E-3</v>
      </c>
      <c r="C24" s="30">
        <v>4.0000000000000001E-3</v>
      </c>
      <c r="D24" s="30">
        <v>1.6E-2</v>
      </c>
      <c r="E24" s="30">
        <v>-1.3000000000000025E-3</v>
      </c>
      <c r="F24" s="30">
        <v>-1.3999999999999985E-3</v>
      </c>
      <c r="G24" s="30">
        <v>0</v>
      </c>
      <c r="H24" s="30">
        <v>2.5000000000000005E-3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0.7</v>
      </c>
      <c r="O24" s="30">
        <v>0.5</v>
      </c>
      <c r="P24" s="30">
        <v>0.60000000000000009</v>
      </c>
      <c r="Q24" s="30">
        <v>0</v>
      </c>
      <c r="R24" s="30">
        <v>-6.6500000000000004E-2</v>
      </c>
      <c r="S24" s="30">
        <v>-5.4163669610281517E-3</v>
      </c>
      <c r="T24" s="30">
        <v>0</v>
      </c>
      <c r="U24" s="30">
        <v>0</v>
      </c>
      <c r="V24" s="30">
        <v>0</v>
      </c>
      <c r="W24" s="30">
        <v>0.25</v>
      </c>
      <c r="X24" s="30">
        <v>0.16</v>
      </c>
      <c r="Y24" s="60">
        <v>0.11000000000000001</v>
      </c>
    </row>
    <row r="25" spans="1:25" x14ac:dyDescent="0.25">
      <c r="A25" s="29">
        <v>42643</v>
      </c>
      <c r="B25" s="30">
        <v>6.0000000000000001E-3</v>
      </c>
      <c r="C25" s="30">
        <v>3.0000000000000001E-3</v>
      </c>
      <c r="D25" s="30">
        <v>1.7000000000000001E-2</v>
      </c>
      <c r="E25" s="30">
        <v>-2.9999999999999472E-4</v>
      </c>
      <c r="F25" s="30">
        <v>-1.3000000000000025E-3</v>
      </c>
      <c r="G25" s="30">
        <v>0</v>
      </c>
      <c r="H25" s="30">
        <v>4.9999999999999958E-4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0.10000000000000009</v>
      </c>
      <c r="O25" s="30">
        <v>0.4</v>
      </c>
      <c r="P25" s="30">
        <v>-0.5</v>
      </c>
      <c r="Q25" s="30">
        <v>0</v>
      </c>
      <c r="R25" s="30">
        <v>-4.1999999999999815E-3</v>
      </c>
      <c r="S25" s="30">
        <v>4.4820639007853158E-4</v>
      </c>
      <c r="T25" s="30">
        <v>0</v>
      </c>
      <c r="U25" s="30">
        <v>0</v>
      </c>
      <c r="V25" s="30">
        <v>0</v>
      </c>
      <c r="W25" s="30">
        <v>0.21000000000000002</v>
      </c>
      <c r="X25" s="30">
        <v>-0.18</v>
      </c>
      <c r="Y25" s="60">
        <v>-0.59000000000000008</v>
      </c>
    </row>
    <row r="26" spans="1:25" x14ac:dyDescent="0.25">
      <c r="A26" s="29">
        <v>42551</v>
      </c>
      <c r="B26" s="30">
        <v>3.0000000000000001E-3</v>
      </c>
      <c r="C26" s="30">
        <v>5.0000000000000001E-3</v>
      </c>
      <c r="D26" s="30">
        <v>1.9E-2</v>
      </c>
      <c r="E26" s="30">
        <v>2.9999999999999472E-4</v>
      </c>
      <c r="F26" s="30">
        <v>-1.3000000000000025E-3</v>
      </c>
      <c r="G26" s="30">
        <v>0</v>
      </c>
      <c r="H26" s="30">
        <v>2.9999999999999992E-4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-0.10000000000000009</v>
      </c>
      <c r="O26" s="30">
        <v>-0.19999999999999998</v>
      </c>
      <c r="P26" s="30">
        <v>0</v>
      </c>
      <c r="Q26" s="30">
        <v>0</v>
      </c>
      <c r="R26" s="30">
        <v>1.2599999999999945E-2</v>
      </c>
      <c r="S26" s="30">
        <v>-4.844156563140134E-3</v>
      </c>
      <c r="T26" s="30">
        <v>0</v>
      </c>
      <c r="U26" s="30">
        <v>0</v>
      </c>
      <c r="V26" s="30">
        <v>0</v>
      </c>
      <c r="W26" s="30">
        <v>-4.0000000000000008E-2</v>
      </c>
      <c r="X26" s="30">
        <v>0.16</v>
      </c>
      <c r="Y26" s="60">
        <v>1.08</v>
      </c>
    </row>
    <row r="27" spans="1:25" x14ac:dyDescent="0.25">
      <c r="A27" s="29">
        <v>42460</v>
      </c>
      <c r="B27" s="30">
        <v>6.0000000000000001E-3</v>
      </c>
      <c r="C27" s="30">
        <v>8.0000000000000002E-3</v>
      </c>
      <c r="D27" s="30">
        <v>1.4E-2</v>
      </c>
      <c r="E27" s="30">
        <v>-1.2999999999999956E-3</v>
      </c>
      <c r="F27" s="30">
        <v>-9.9999999999999395E-4</v>
      </c>
      <c r="G27" s="30">
        <v>-1.0000000000000009E-3</v>
      </c>
      <c r="H27" s="30">
        <v>1.0000000000000026E-4</v>
      </c>
      <c r="I27" s="30">
        <v>-5.0000000000000001E-4</v>
      </c>
      <c r="J27" s="30">
        <v>0</v>
      </c>
      <c r="K27" s="30">
        <v>0</v>
      </c>
      <c r="L27" s="30">
        <v>-2.8000000000000025E-2</v>
      </c>
      <c r="M27" s="30">
        <v>5.6311999999999927</v>
      </c>
      <c r="N27" s="30">
        <v>0.60000000000000009</v>
      </c>
      <c r="O27" s="30">
        <v>-0.10000000000000003</v>
      </c>
      <c r="P27" s="30">
        <v>0.60000000000000009</v>
      </c>
      <c r="Q27" s="30">
        <v>0</v>
      </c>
      <c r="R27" s="30">
        <v>2.2500000000000187E-2</v>
      </c>
      <c r="S27" s="30">
        <v>2.5759193690402526E-3</v>
      </c>
      <c r="T27" s="30">
        <v>97.110000000000582</v>
      </c>
      <c r="U27" s="30">
        <v>744.89000000000669</v>
      </c>
      <c r="V27" s="30">
        <v>670.37999999999738</v>
      </c>
      <c r="W27" s="30">
        <v>-0.16999999999999998</v>
      </c>
      <c r="X27" s="30">
        <v>-0.3</v>
      </c>
      <c r="Y27" s="60">
        <v>-0.57000000000000006</v>
      </c>
    </row>
    <row r="28" spans="1:25" x14ac:dyDescent="0.25">
      <c r="A28" s="29">
        <v>42369</v>
      </c>
      <c r="B28" s="30">
        <v>1E-3</v>
      </c>
      <c r="C28" s="30">
        <v>4.0000000000000001E-3</v>
      </c>
      <c r="D28" s="30">
        <v>1.6E-2</v>
      </c>
      <c r="E28" s="30">
        <v>-6.9999999999999923E-4</v>
      </c>
      <c r="F28" s="30">
        <v>-6.9999999999999923E-4</v>
      </c>
      <c r="G28" s="30">
        <v>0</v>
      </c>
      <c r="H28" s="30">
        <v>2E-3</v>
      </c>
      <c r="I28" s="30">
        <v>0</v>
      </c>
      <c r="J28" s="30">
        <v>-2.5000000000000022E-3</v>
      </c>
      <c r="K28" s="30">
        <v>0</v>
      </c>
      <c r="L28" s="30">
        <v>0</v>
      </c>
      <c r="M28" s="30">
        <v>0</v>
      </c>
      <c r="N28" s="30">
        <v>0.4</v>
      </c>
      <c r="O28" s="30">
        <v>-0.29999999999999993</v>
      </c>
      <c r="P28" s="30">
        <v>-0.30000000000000004</v>
      </c>
      <c r="Q28" s="30">
        <v>0</v>
      </c>
      <c r="R28" s="30">
        <v>-3.4399999999999986E-2</v>
      </c>
      <c r="S28" s="30">
        <v>-5.4876361172349897E-3</v>
      </c>
      <c r="T28" s="30">
        <v>0</v>
      </c>
      <c r="U28" s="30">
        <v>0</v>
      </c>
      <c r="V28" s="30">
        <v>0</v>
      </c>
      <c r="W28" s="30">
        <v>0.49</v>
      </c>
      <c r="X28" s="30">
        <v>0.48</v>
      </c>
      <c r="Y28" s="60">
        <v>-0.29000000000000004</v>
      </c>
    </row>
    <row r="29" spans="1:25" x14ac:dyDescent="0.25">
      <c r="A29" s="29">
        <v>42277</v>
      </c>
      <c r="B29" s="30">
        <v>3.0000000000000001E-3</v>
      </c>
      <c r="C29" s="30">
        <v>4.0000000000000001E-3</v>
      </c>
      <c r="D29" s="30">
        <v>1.7000000000000001E-2</v>
      </c>
      <c r="E29" s="30">
        <v>-3.3000000000000043E-3</v>
      </c>
      <c r="F29" s="30">
        <v>-1.0000000000000009E-3</v>
      </c>
      <c r="G29" s="30">
        <v>0</v>
      </c>
      <c r="H29" s="30">
        <v>2.0000000000000009E-4</v>
      </c>
      <c r="I29" s="30">
        <v>0</v>
      </c>
      <c r="J29" s="30">
        <v>-2.5000000000000022E-3</v>
      </c>
      <c r="K29" s="30">
        <v>0</v>
      </c>
      <c r="L29" s="30">
        <v>0</v>
      </c>
      <c r="M29" s="30">
        <v>0</v>
      </c>
      <c r="N29" s="30">
        <v>0.1</v>
      </c>
      <c r="O29" s="30">
        <v>-0.30000000000000004</v>
      </c>
      <c r="P29" s="30">
        <v>0.40000000000000013</v>
      </c>
      <c r="Q29" s="30">
        <v>0</v>
      </c>
      <c r="R29" s="30">
        <v>1.4999999999998348E-3</v>
      </c>
      <c r="S29" s="30">
        <v>-4.0576181781294407E-3</v>
      </c>
      <c r="T29" s="30">
        <v>0</v>
      </c>
      <c r="U29" s="30">
        <v>0</v>
      </c>
      <c r="V29" s="30">
        <v>0</v>
      </c>
      <c r="W29" s="30">
        <v>-0.82000000000000006</v>
      </c>
      <c r="X29" s="30">
        <v>-0.12</v>
      </c>
      <c r="Y29" s="60">
        <v>0.85</v>
      </c>
    </row>
    <row r="30" spans="1:25" x14ac:dyDescent="0.25">
      <c r="A30" s="29">
        <v>42185</v>
      </c>
      <c r="B30" s="30">
        <v>6.0000000000000001E-3</v>
      </c>
      <c r="C30" s="30">
        <v>7.0000000000000001E-3</v>
      </c>
      <c r="D30" s="30">
        <v>0.02</v>
      </c>
      <c r="E30" s="30">
        <v>-1.0000000000000009E-3</v>
      </c>
      <c r="F30" s="30">
        <v>-1.0000000000000009E-3</v>
      </c>
      <c r="G30" s="30">
        <v>0</v>
      </c>
      <c r="H30" s="30">
        <v>2.0000000000000009E-4</v>
      </c>
      <c r="I30" s="30">
        <v>0</v>
      </c>
      <c r="J30" s="30">
        <v>-3.9999999999999966E-3</v>
      </c>
      <c r="K30" s="30">
        <v>0</v>
      </c>
      <c r="L30" s="30">
        <v>0</v>
      </c>
      <c r="M30" s="30">
        <v>0</v>
      </c>
      <c r="N30" s="30">
        <v>0.1</v>
      </c>
      <c r="O30" s="30">
        <v>1.1000000000000001</v>
      </c>
      <c r="P30" s="30">
        <v>0.29999999999999982</v>
      </c>
      <c r="Q30" s="30">
        <v>0</v>
      </c>
      <c r="R30" s="30">
        <v>3.8900000000000157E-2</v>
      </c>
      <c r="S30" s="30">
        <v>-2.6056594924175891E-4</v>
      </c>
      <c r="T30" s="30">
        <v>0</v>
      </c>
      <c r="U30" s="30">
        <v>0</v>
      </c>
      <c r="V30" s="30">
        <v>0</v>
      </c>
      <c r="W30" s="30">
        <v>0.63</v>
      </c>
      <c r="X30" s="30">
        <v>-0.23</v>
      </c>
      <c r="Y30" s="60">
        <v>-0.22999999999999998</v>
      </c>
    </row>
    <row r="31" spans="1:25" x14ac:dyDescent="0.25">
      <c r="A31" s="29">
        <v>42094</v>
      </c>
      <c r="B31" s="30">
        <v>8.0000000000000002E-3</v>
      </c>
      <c r="C31" s="30">
        <v>-5.0000000000000001E-3</v>
      </c>
      <c r="D31" s="30">
        <v>1.7000000000000001E-2</v>
      </c>
      <c r="E31" s="30">
        <v>-1.7000000000000001E-3</v>
      </c>
      <c r="F31" s="30">
        <v>-1.3000000000000025E-3</v>
      </c>
      <c r="G31" s="30">
        <v>0</v>
      </c>
      <c r="H31" s="30">
        <v>9.9999999999999829E-5</v>
      </c>
      <c r="I31" s="30">
        <v>0</v>
      </c>
      <c r="J31" s="30">
        <v>0</v>
      </c>
      <c r="K31" s="30">
        <v>0</v>
      </c>
      <c r="L31" s="30">
        <v>8.900000000000019E-3</v>
      </c>
      <c r="M31" s="30">
        <v>-0.29410000000000025</v>
      </c>
      <c r="N31" s="30">
        <v>-1.3</v>
      </c>
      <c r="O31" s="30">
        <v>-0.6</v>
      </c>
      <c r="P31" s="30">
        <v>-0.29999999999999982</v>
      </c>
      <c r="Q31" s="30">
        <v>0</v>
      </c>
      <c r="R31" s="30">
        <v>-0.14870000000000005</v>
      </c>
      <c r="S31" s="30">
        <v>2.6056594924175891E-4</v>
      </c>
      <c r="T31" s="30">
        <v>1535.3800000000047</v>
      </c>
      <c r="U31" s="30">
        <v>1177.9799999999959</v>
      </c>
      <c r="V31" s="30">
        <v>-39.190000000002328</v>
      </c>
      <c r="W31" s="30">
        <v>-0.58000000000000007</v>
      </c>
      <c r="X31" s="30">
        <v>0</v>
      </c>
      <c r="Y31" s="60">
        <v>-0.43</v>
      </c>
    </row>
    <row r="32" spans="1:25" x14ac:dyDescent="0.25">
      <c r="A32" s="29">
        <v>42004</v>
      </c>
      <c r="B32" s="30">
        <v>4.0000000000000001E-3</v>
      </c>
      <c r="C32" s="30">
        <v>8.0000000000000002E-3</v>
      </c>
      <c r="D32" s="30">
        <v>1.7999999999999999E-2</v>
      </c>
      <c r="E32" s="30">
        <v>-3.699999999999995E-3</v>
      </c>
      <c r="F32" s="30">
        <v>-6.9999999999999923E-4</v>
      </c>
      <c r="G32" s="30">
        <v>0</v>
      </c>
      <c r="H32" s="30">
        <v>1.0000000000000005E-4</v>
      </c>
      <c r="I32" s="30">
        <v>0</v>
      </c>
      <c r="J32" s="30">
        <v>-1.5000000000000013E-3</v>
      </c>
      <c r="K32" s="30">
        <v>0</v>
      </c>
      <c r="L32" s="30">
        <v>0</v>
      </c>
      <c r="M32" s="30">
        <v>0</v>
      </c>
      <c r="N32" s="30">
        <v>-0.60000000000000009</v>
      </c>
      <c r="O32" s="30">
        <v>-0.30000000000000004</v>
      </c>
      <c r="P32" s="30">
        <v>-0.5</v>
      </c>
      <c r="Q32" s="30">
        <v>0</v>
      </c>
      <c r="R32" s="30">
        <v>-5.8599999999999985E-2</v>
      </c>
      <c r="S32" s="30">
        <v>-1.5761269307555115E-3</v>
      </c>
      <c r="T32" s="30">
        <v>0</v>
      </c>
      <c r="U32" s="30">
        <v>0</v>
      </c>
      <c r="V32" s="30">
        <v>0</v>
      </c>
      <c r="W32" s="30">
        <v>0.22</v>
      </c>
      <c r="X32" s="30">
        <v>0.26</v>
      </c>
      <c r="Y32" s="60">
        <v>-0.19</v>
      </c>
    </row>
    <row r="33" spans="1:25" x14ac:dyDescent="0.25">
      <c r="A33" s="29">
        <v>41912</v>
      </c>
      <c r="B33" s="30">
        <v>1.2E-2</v>
      </c>
      <c r="C33" s="30">
        <v>5.0000000000000001E-3</v>
      </c>
      <c r="D33" s="30">
        <v>1.7999999999999999E-2</v>
      </c>
      <c r="E33" s="30">
        <v>-1.3000000000000025E-3</v>
      </c>
      <c r="F33" s="30">
        <v>-3.0000000000000165E-4</v>
      </c>
      <c r="G33" s="30">
        <v>0</v>
      </c>
      <c r="H33" s="30">
        <v>1.0000000000000005E-4</v>
      </c>
      <c r="I33" s="30">
        <v>-1E-3</v>
      </c>
      <c r="J33" s="30">
        <v>-2.0000000000000018E-3</v>
      </c>
      <c r="K33" s="30">
        <v>0</v>
      </c>
      <c r="L33" s="30">
        <v>0</v>
      </c>
      <c r="M33" s="30">
        <v>0</v>
      </c>
      <c r="N33" s="30">
        <v>-0.30000000000000004</v>
      </c>
      <c r="O33" s="30">
        <v>-0.30000000000000004</v>
      </c>
      <c r="P33" s="30">
        <v>-0.20000000000000018</v>
      </c>
      <c r="Q33" s="30">
        <v>0</v>
      </c>
      <c r="R33" s="30">
        <v>-6.920000000000015E-2</v>
      </c>
      <c r="S33" s="30">
        <v>1.835853698196166E-3</v>
      </c>
      <c r="T33" s="30">
        <v>0</v>
      </c>
      <c r="U33" s="30">
        <v>0</v>
      </c>
      <c r="V33" s="30">
        <v>0</v>
      </c>
      <c r="W33" s="30">
        <v>0.12000000000000001</v>
      </c>
      <c r="X33" s="30">
        <v>-0.13</v>
      </c>
      <c r="Y33" s="60">
        <v>-0.11999999999999997</v>
      </c>
    </row>
    <row r="34" spans="1:25" x14ac:dyDescent="0.25">
      <c r="A34" s="29">
        <v>41820</v>
      </c>
      <c r="B34" s="30">
        <v>1.2999999999999999E-2</v>
      </c>
      <c r="C34" s="30">
        <v>0</v>
      </c>
      <c r="D34" s="30">
        <v>1.7999999999999999E-2</v>
      </c>
      <c r="E34" s="30">
        <v>-4.6999999999999958E-3</v>
      </c>
      <c r="F34" s="30">
        <v>-6.9999999999999923E-4</v>
      </c>
      <c r="G34" s="30">
        <v>0</v>
      </c>
      <c r="H34" s="30">
        <v>0</v>
      </c>
      <c r="I34" s="30">
        <v>-1E-3</v>
      </c>
      <c r="J34" s="30">
        <v>-3.9999999999999966E-3</v>
      </c>
      <c r="K34" s="30">
        <v>0</v>
      </c>
      <c r="L34" s="30">
        <v>0</v>
      </c>
      <c r="M34" s="30">
        <v>0</v>
      </c>
      <c r="N34" s="30">
        <v>0.70000000000000018</v>
      </c>
      <c r="O34" s="30">
        <v>-9.9999999999999867E-2</v>
      </c>
      <c r="P34" s="30">
        <v>-0.10000000000000009</v>
      </c>
      <c r="Q34" s="30">
        <v>0</v>
      </c>
      <c r="R34" s="30">
        <v>-2.2999999999999909E-2</v>
      </c>
      <c r="S34" s="30">
        <v>0</v>
      </c>
      <c r="T34" s="30">
        <v>0</v>
      </c>
      <c r="U34" s="30">
        <v>0</v>
      </c>
      <c r="V34" s="30">
        <v>0</v>
      </c>
      <c r="W34" s="30">
        <v>0.18</v>
      </c>
      <c r="X34" s="30">
        <v>7.0000000000000007E-2</v>
      </c>
      <c r="Y34" s="60">
        <v>-0.33999999999999997</v>
      </c>
    </row>
    <row r="35" spans="1:25" x14ac:dyDescent="0.25">
      <c r="A35" s="29">
        <v>41729</v>
      </c>
      <c r="B35" s="30">
        <v>-4.0000000000000001E-3</v>
      </c>
      <c r="C35" s="30">
        <v>0.01</v>
      </c>
      <c r="D35" s="30">
        <v>1.7999999999999999E-2</v>
      </c>
      <c r="E35" s="30">
        <v>-2.6000000000000051E-3</v>
      </c>
      <c r="F35" s="30">
        <v>-3.0000000000000165E-4</v>
      </c>
      <c r="G35" s="30">
        <v>0</v>
      </c>
      <c r="H35" s="30">
        <v>1.9999999999999998E-4</v>
      </c>
      <c r="I35" s="30">
        <v>0</v>
      </c>
      <c r="J35" s="30">
        <v>0</v>
      </c>
      <c r="K35" s="30">
        <v>0</v>
      </c>
      <c r="L35" s="30">
        <v>-9.000000000000119E-4</v>
      </c>
      <c r="M35" s="30">
        <v>2.1514000000000095</v>
      </c>
      <c r="N35" s="30">
        <v>0.19999999999999996</v>
      </c>
      <c r="O35" s="30">
        <v>-0.10000000000000009</v>
      </c>
      <c r="P35" s="30">
        <v>-0.69999999999999973</v>
      </c>
      <c r="Q35" s="30">
        <v>0</v>
      </c>
      <c r="R35" s="30">
        <v>1.2899999999999912E-2</v>
      </c>
      <c r="S35" s="30">
        <v>-4.2586603851426097E-3</v>
      </c>
      <c r="T35" s="30">
        <v>904.30999999999767</v>
      </c>
      <c r="U35" s="30">
        <v>837.94000000000233</v>
      </c>
      <c r="V35" s="30">
        <v>-676.54000000000087</v>
      </c>
      <c r="W35" s="30">
        <v>-0.74</v>
      </c>
      <c r="X35" s="30">
        <v>-0.15000000000000002</v>
      </c>
      <c r="Y35" s="60">
        <v>0.19999999999999996</v>
      </c>
    </row>
    <row r="36" spans="1:25" x14ac:dyDescent="0.25">
      <c r="A36" s="29">
        <v>41639</v>
      </c>
      <c r="B36" s="30">
        <v>7.0000000000000001E-3</v>
      </c>
      <c r="C36" s="30">
        <v>3.0000000000000001E-3</v>
      </c>
      <c r="D36" s="30">
        <v>1.6E-2</v>
      </c>
      <c r="E36" s="30">
        <v>-3.0000000000000027E-3</v>
      </c>
      <c r="F36" s="30">
        <v>-6.9999999999999923E-4</v>
      </c>
      <c r="G36" s="30">
        <v>0</v>
      </c>
      <c r="H36" s="30">
        <v>-1.9999999999999998E-4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-0.40000000000000013</v>
      </c>
      <c r="O36" s="30">
        <v>-0.30000000000000004</v>
      </c>
      <c r="P36" s="30">
        <v>0.19999999999999973</v>
      </c>
      <c r="Q36" s="30">
        <v>0</v>
      </c>
      <c r="R36" s="30">
        <v>3.520000000000012E-2</v>
      </c>
      <c r="S36" s="30">
        <v>1.8905633878895933E-3</v>
      </c>
      <c r="T36" s="30">
        <v>0</v>
      </c>
      <c r="U36" s="30">
        <v>0</v>
      </c>
      <c r="V36" s="30">
        <v>0</v>
      </c>
      <c r="W36" s="30">
        <v>0.98</v>
      </c>
      <c r="X36" s="30">
        <v>-3.9999999999999994E-2</v>
      </c>
      <c r="Y36" s="60">
        <v>0.2</v>
      </c>
    </row>
    <row r="37" spans="1:25" x14ac:dyDescent="0.25">
      <c r="A37" s="29">
        <v>41547</v>
      </c>
      <c r="B37" s="30">
        <v>8.0000000000000002E-3</v>
      </c>
      <c r="C37" s="30">
        <v>5.0000000000000001E-3</v>
      </c>
      <c r="D37" s="30">
        <v>2.1000000000000001E-2</v>
      </c>
      <c r="E37" s="30">
        <v>-3.0000000000000027E-3</v>
      </c>
      <c r="F37" s="30">
        <v>-6.9999999999999923E-4</v>
      </c>
      <c r="G37" s="30">
        <v>0</v>
      </c>
      <c r="H37" s="30">
        <v>9.9999999999999937E-5</v>
      </c>
      <c r="I37" s="30">
        <v>-2.5000000000000001E-3</v>
      </c>
      <c r="J37" s="30">
        <v>0</v>
      </c>
      <c r="K37" s="30">
        <v>0</v>
      </c>
      <c r="L37" s="30">
        <v>0</v>
      </c>
      <c r="M37" s="30">
        <v>0</v>
      </c>
      <c r="N37" s="30">
        <v>0.20000000000000018</v>
      </c>
      <c r="O37" s="30">
        <v>0.10000000000000009</v>
      </c>
      <c r="P37" s="30">
        <v>0.30000000000000027</v>
      </c>
      <c r="Q37" s="30">
        <v>0</v>
      </c>
      <c r="R37" s="30">
        <v>1.6799999999999926E-2</v>
      </c>
      <c r="S37" s="30">
        <v>2.6655577946241293E-4</v>
      </c>
      <c r="T37" s="30">
        <v>0</v>
      </c>
      <c r="U37" s="30">
        <v>0</v>
      </c>
      <c r="V37" s="30">
        <v>0</v>
      </c>
      <c r="W37" s="30">
        <v>-0.33999999999999997</v>
      </c>
      <c r="X37" s="30">
        <v>7.9999999999999988E-2</v>
      </c>
      <c r="Y37" s="60">
        <v>0.57999999999999996</v>
      </c>
    </row>
    <row r="38" spans="1:25" x14ac:dyDescent="0.25">
      <c r="A38" s="29">
        <v>41455</v>
      </c>
      <c r="B38" s="30">
        <v>1E-3</v>
      </c>
      <c r="C38" s="30">
        <v>1.0999999999999999E-2</v>
      </c>
      <c r="D38" s="30">
        <v>1.7000000000000001E-2</v>
      </c>
      <c r="E38" s="30">
        <v>-1.9999999999999879E-3</v>
      </c>
      <c r="F38" s="30">
        <v>-1.0000000000000009E-3</v>
      </c>
      <c r="G38" s="30">
        <v>0</v>
      </c>
      <c r="H38" s="30">
        <v>-3.9999999999999986E-4</v>
      </c>
      <c r="I38" s="30">
        <v>-2.4999999999999996E-3</v>
      </c>
      <c r="J38" s="30">
        <v>0</v>
      </c>
      <c r="K38" s="30">
        <v>0</v>
      </c>
      <c r="L38" s="30">
        <v>0</v>
      </c>
      <c r="M38" s="30">
        <v>0</v>
      </c>
      <c r="N38" s="30">
        <v>-0.30000000000000004</v>
      </c>
      <c r="O38" s="30">
        <v>0</v>
      </c>
      <c r="P38" s="30">
        <v>-0.10000000000000009</v>
      </c>
      <c r="Q38" s="30">
        <v>0</v>
      </c>
      <c r="R38" s="30">
        <v>2.1500000000000075E-2</v>
      </c>
      <c r="S38" s="30">
        <v>1.841814450349949E-3</v>
      </c>
      <c r="T38" s="30">
        <v>0</v>
      </c>
      <c r="U38" s="30">
        <v>0</v>
      </c>
      <c r="V38" s="30">
        <v>0</v>
      </c>
      <c r="W38" s="30">
        <v>-0.11</v>
      </c>
      <c r="X38" s="30">
        <v>0.03</v>
      </c>
      <c r="Y38" s="60">
        <v>0.51</v>
      </c>
    </row>
    <row r="39" spans="1:25" x14ac:dyDescent="0.25">
      <c r="A39" s="29">
        <v>41364</v>
      </c>
      <c r="B39" s="30">
        <v>8.9999999999999993E-3</v>
      </c>
      <c r="C39" s="30">
        <v>-5.0000000000000001E-3</v>
      </c>
      <c r="D39" s="30">
        <v>1.7999999999999999E-2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0</v>
      </c>
      <c r="X39" s="30">
        <v>0</v>
      </c>
      <c r="Y39" s="60">
        <v>0</v>
      </c>
    </row>
    <row r="40" spans="1:25" x14ac:dyDescent="0.25">
      <c r="T40" s="30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3688C-153B-4D88-BE41-B65A4EAF2C96}">
  <dimension ref="B1:N83"/>
  <sheetViews>
    <sheetView showGridLines="0" workbookViewId="0">
      <selection activeCell="K19" sqref="K19"/>
    </sheetView>
  </sheetViews>
  <sheetFormatPr baseColWidth="10" defaultRowHeight="15" x14ac:dyDescent="0.25"/>
  <cols>
    <col min="1" max="1" width="1.85546875" customWidth="1"/>
    <col min="2" max="2" width="45.7109375" customWidth="1"/>
    <col min="3" max="4" width="15.7109375" customWidth="1"/>
    <col min="5" max="5" width="30.7109375" customWidth="1"/>
    <col min="6" max="7" width="25.7109375" customWidth="1"/>
    <col min="8" max="8" width="45.7109375" customWidth="1"/>
    <col min="9" max="9" width="15.7109375" customWidth="1"/>
  </cols>
  <sheetData>
    <row r="1" spans="2:14" ht="5.25" customHeight="1" x14ac:dyDescent="0.25"/>
    <row r="2" spans="2:14" x14ac:dyDescent="0.25">
      <c r="B2" s="31" t="s">
        <v>112</v>
      </c>
      <c r="C2" s="32" t="s">
        <v>139</v>
      </c>
      <c r="D2" s="32" t="s">
        <v>141</v>
      </c>
      <c r="E2" s="32" t="s">
        <v>143</v>
      </c>
      <c r="F2" s="32" t="s">
        <v>142</v>
      </c>
      <c r="G2" s="33" t="s">
        <v>144</v>
      </c>
      <c r="H2" s="34" t="s">
        <v>113</v>
      </c>
      <c r="I2" s="35" t="s">
        <v>139</v>
      </c>
    </row>
    <row r="3" spans="2:14" x14ac:dyDescent="0.25">
      <c r="B3" s="36" t="s">
        <v>77</v>
      </c>
      <c r="C3" s="37">
        <v>363</v>
      </c>
      <c r="D3" s="37">
        <f>I3</f>
        <v>433</v>
      </c>
      <c r="E3" s="37" t="s">
        <v>111</v>
      </c>
      <c r="F3" s="38">
        <f>I3/$I$11</f>
        <v>0.14783202458176853</v>
      </c>
      <c r="G3" s="39">
        <f>SUM(F3:F5,F7)</f>
        <v>0.64970979856606359</v>
      </c>
      <c r="H3" s="40" t="s">
        <v>77</v>
      </c>
      <c r="I3" s="41">
        <v>433</v>
      </c>
    </row>
    <row r="4" spans="2:14" x14ac:dyDescent="0.25">
      <c r="B4" s="36" t="s">
        <v>79</v>
      </c>
      <c r="C4" s="37">
        <v>306</v>
      </c>
      <c r="D4" s="37">
        <f>I7</f>
        <v>390</v>
      </c>
      <c r="E4" s="37" t="s">
        <v>111</v>
      </c>
      <c r="F4" s="38">
        <f>I7/$I$11</f>
        <v>0.13315124615909868</v>
      </c>
      <c r="G4" s="39"/>
      <c r="H4" s="40" t="s">
        <v>78</v>
      </c>
      <c r="I4" s="41">
        <v>807</v>
      </c>
    </row>
    <row r="5" spans="2:14" x14ac:dyDescent="0.25">
      <c r="B5" s="36" t="s">
        <v>80</v>
      </c>
      <c r="C5" s="37">
        <v>278</v>
      </c>
      <c r="D5" s="37">
        <f>I8</f>
        <v>278</v>
      </c>
      <c r="E5" s="37" t="s">
        <v>111</v>
      </c>
      <c r="F5" s="38">
        <f>I8/$I$11</f>
        <v>9.4912939569819055E-2</v>
      </c>
      <c r="G5" s="39"/>
      <c r="H5" s="40" t="s">
        <v>85</v>
      </c>
      <c r="I5" s="41">
        <v>312</v>
      </c>
    </row>
    <row r="6" spans="2:14" x14ac:dyDescent="0.25">
      <c r="B6" s="36" t="s">
        <v>81</v>
      </c>
      <c r="C6" s="42">
        <v>311</v>
      </c>
      <c r="D6" s="37">
        <f>I29</f>
        <v>330</v>
      </c>
      <c r="E6" s="37" t="s">
        <v>110</v>
      </c>
      <c r="F6" s="38">
        <f>(I29+I30)/I31</f>
        <v>0.27478991596638658</v>
      </c>
      <c r="G6" s="39">
        <f>F6</f>
        <v>0.27478991596638658</v>
      </c>
      <c r="H6" s="40" t="s">
        <v>86</v>
      </c>
      <c r="I6" s="41">
        <v>500</v>
      </c>
      <c r="M6" s="25"/>
      <c r="N6" s="25"/>
    </row>
    <row r="7" spans="2:14" x14ac:dyDescent="0.25">
      <c r="B7" s="43" t="s">
        <v>103</v>
      </c>
      <c r="C7" s="42">
        <v>683</v>
      </c>
      <c r="D7" s="37">
        <f>I4</f>
        <v>807</v>
      </c>
      <c r="E7" s="37" t="s">
        <v>111</v>
      </c>
      <c r="F7" s="38">
        <f>(I4+I10)/$I$11</f>
        <v>0.27381358825537727</v>
      </c>
      <c r="G7" s="39"/>
      <c r="H7" s="40" t="s">
        <v>79</v>
      </c>
      <c r="I7" s="41">
        <v>390</v>
      </c>
      <c r="M7" s="25"/>
      <c r="N7" s="25"/>
    </row>
    <row r="8" spans="2:14" x14ac:dyDescent="0.25">
      <c r="B8" s="36" t="s">
        <v>82</v>
      </c>
      <c r="C8" s="42">
        <v>924</v>
      </c>
      <c r="D8" s="37">
        <f>I14</f>
        <v>939</v>
      </c>
      <c r="E8" s="37" t="s">
        <v>109</v>
      </c>
      <c r="F8" s="38">
        <f>I14/I18</f>
        <v>0.551056338028169</v>
      </c>
      <c r="G8" s="39">
        <v>0.6</v>
      </c>
      <c r="H8" s="40" t="s">
        <v>80</v>
      </c>
      <c r="I8" s="41">
        <v>278</v>
      </c>
      <c r="M8" s="25"/>
      <c r="N8" s="25"/>
    </row>
    <row r="9" spans="2:14" x14ac:dyDescent="0.25">
      <c r="B9" s="36" t="s">
        <v>83</v>
      </c>
      <c r="C9" s="42">
        <v>92</v>
      </c>
      <c r="D9" s="37">
        <f>I15</f>
        <v>92</v>
      </c>
      <c r="E9" s="37" t="s">
        <v>109</v>
      </c>
      <c r="F9" s="38">
        <f>I15/I18</f>
        <v>5.39906103286385E-2</v>
      </c>
      <c r="G9" s="39"/>
      <c r="H9" s="40" t="s">
        <v>104</v>
      </c>
      <c r="I9" s="41">
        <v>214</v>
      </c>
      <c r="M9" s="25"/>
      <c r="N9" s="25"/>
    </row>
    <row r="10" spans="2:14" x14ac:dyDescent="0.25">
      <c r="B10" s="36" t="s">
        <v>84</v>
      </c>
      <c r="C10" s="42">
        <v>6</v>
      </c>
      <c r="D10" s="37">
        <f>I10+I17</f>
        <v>-7</v>
      </c>
      <c r="E10" s="37" t="s">
        <v>140</v>
      </c>
      <c r="F10" s="44">
        <v>0</v>
      </c>
      <c r="G10" s="45"/>
      <c r="H10" s="40" t="s">
        <v>105</v>
      </c>
      <c r="I10" s="41">
        <v>-5</v>
      </c>
      <c r="M10" s="25"/>
      <c r="N10" s="25"/>
    </row>
    <row r="11" spans="2:14" x14ac:dyDescent="0.25">
      <c r="B11" s="46" t="s">
        <v>1</v>
      </c>
      <c r="C11" s="47">
        <f>SUM(C3:C10)</f>
        <v>2963</v>
      </c>
      <c r="D11" s="37"/>
      <c r="E11" s="37"/>
      <c r="F11" s="44"/>
      <c r="G11" s="45"/>
      <c r="H11" s="48" t="s">
        <v>71</v>
      </c>
      <c r="I11" s="49">
        <f>SUM(I3:I10)</f>
        <v>2929</v>
      </c>
      <c r="M11" s="25"/>
      <c r="N11" s="25"/>
    </row>
    <row r="12" spans="2:14" x14ac:dyDescent="0.25">
      <c r="B12" s="36"/>
      <c r="C12" s="37"/>
      <c r="D12" s="37"/>
      <c r="E12" s="37"/>
      <c r="F12" s="44"/>
      <c r="G12" s="45"/>
      <c r="H12" s="50"/>
      <c r="I12" s="41"/>
      <c r="M12" s="25"/>
      <c r="N12" s="25"/>
    </row>
    <row r="13" spans="2:14" x14ac:dyDescent="0.25">
      <c r="B13" s="36" t="s">
        <v>85</v>
      </c>
      <c r="C13" s="42">
        <v>311</v>
      </c>
      <c r="D13" s="37">
        <f>I5</f>
        <v>312</v>
      </c>
      <c r="E13" s="37" t="s">
        <v>111</v>
      </c>
      <c r="F13" s="38">
        <f>I5/I11</f>
        <v>0.10652099692727894</v>
      </c>
      <c r="G13" s="39">
        <v>0.28000000000000003</v>
      </c>
      <c r="H13" s="50" t="s">
        <v>87</v>
      </c>
      <c r="I13" s="41">
        <v>458</v>
      </c>
      <c r="M13" s="25"/>
      <c r="N13" s="25"/>
    </row>
    <row r="14" spans="2:14" x14ac:dyDescent="0.25">
      <c r="B14" s="36" t="s">
        <v>86</v>
      </c>
      <c r="C14" s="42">
        <v>508</v>
      </c>
      <c r="D14" s="37">
        <f>I6</f>
        <v>500</v>
      </c>
      <c r="E14" s="37" t="s">
        <v>111</v>
      </c>
      <c r="F14" s="38">
        <f>I6/I11</f>
        <v>0.1707067258449983</v>
      </c>
      <c r="G14" s="39"/>
      <c r="H14" s="50" t="s">
        <v>82</v>
      </c>
      <c r="I14" s="41">
        <v>939</v>
      </c>
      <c r="M14" s="25"/>
      <c r="N14" s="25"/>
    </row>
    <row r="15" spans="2:14" x14ac:dyDescent="0.25">
      <c r="B15" s="36" t="s">
        <v>87</v>
      </c>
      <c r="C15" s="42">
        <v>462</v>
      </c>
      <c r="D15" s="37">
        <f>I13</f>
        <v>458</v>
      </c>
      <c r="E15" s="37" t="s">
        <v>109</v>
      </c>
      <c r="F15" s="38">
        <f>I13/I18</f>
        <v>0.26877934272300469</v>
      </c>
      <c r="G15" s="39">
        <v>0.4</v>
      </c>
      <c r="H15" s="50" t="s">
        <v>83</v>
      </c>
      <c r="I15" s="41">
        <v>92</v>
      </c>
      <c r="M15" s="25"/>
      <c r="N15" s="25"/>
    </row>
    <row r="16" spans="2:14" x14ac:dyDescent="0.25">
      <c r="B16" s="36" t="s">
        <v>88</v>
      </c>
      <c r="C16" s="42">
        <v>861</v>
      </c>
      <c r="D16" s="37">
        <f>I28</f>
        <v>863</v>
      </c>
      <c r="E16" s="37" t="s">
        <v>110</v>
      </c>
      <c r="F16" s="38">
        <f>I28/I31</f>
        <v>0.72521008403361342</v>
      </c>
      <c r="G16" s="39">
        <v>0.73</v>
      </c>
      <c r="H16" s="50" t="s">
        <v>89</v>
      </c>
      <c r="I16" s="41">
        <v>217</v>
      </c>
      <c r="M16" s="25"/>
      <c r="N16" s="25"/>
    </row>
    <row r="17" spans="2:14" x14ac:dyDescent="0.25">
      <c r="B17" s="36" t="s">
        <v>89</v>
      </c>
      <c r="C17" s="42">
        <v>216</v>
      </c>
      <c r="D17" s="37">
        <f>I16</f>
        <v>217</v>
      </c>
      <c r="E17" s="37" t="s">
        <v>109</v>
      </c>
      <c r="F17" s="38">
        <f>(I16+I17)/I18</f>
        <v>0.12617370892018778</v>
      </c>
      <c r="G17" s="39"/>
      <c r="H17" s="50" t="s">
        <v>106</v>
      </c>
      <c r="I17" s="41">
        <v>-2</v>
      </c>
      <c r="M17" s="25"/>
      <c r="N17" s="25"/>
    </row>
    <row r="18" spans="2:14" x14ac:dyDescent="0.25">
      <c r="B18" s="36" t="s">
        <v>90</v>
      </c>
      <c r="C18" s="42">
        <v>-3</v>
      </c>
      <c r="D18" s="37">
        <f>I30</f>
        <v>-3</v>
      </c>
      <c r="E18" s="37" t="s">
        <v>110</v>
      </c>
      <c r="F18" s="38">
        <v>0</v>
      </c>
      <c r="G18" s="51"/>
      <c r="H18" s="48" t="s">
        <v>72</v>
      </c>
      <c r="I18" s="49">
        <f>SUM(I13:I17)</f>
        <v>1704</v>
      </c>
      <c r="M18" s="25"/>
      <c r="N18" s="25"/>
    </row>
    <row r="19" spans="2:14" x14ac:dyDescent="0.25">
      <c r="B19" s="46" t="s">
        <v>48</v>
      </c>
      <c r="C19" s="52">
        <f>SUM(C13:C18)</f>
        <v>2355</v>
      </c>
      <c r="D19" s="37"/>
      <c r="E19" s="37"/>
      <c r="F19" s="44"/>
      <c r="G19" s="45"/>
      <c r="H19" s="50"/>
      <c r="I19" s="41"/>
      <c r="M19" s="25"/>
      <c r="N19" s="25"/>
    </row>
    <row r="20" spans="2:14" x14ac:dyDescent="0.25">
      <c r="B20" s="36"/>
      <c r="C20" s="37"/>
      <c r="D20" s="37"/>
      <c r="E20" s="37"/>
      <c r="F20" s="44"/>
      <c r="G20" s="53"/>
      <c r="H20" s="50" t="s">
        <v>91</v>
      </c>
      <c r="I20" s="41">
        <v>92</v>
      </c>
      <c r="M20" s="25"/>
      <c r="N20" s="25"/>
    </row>
    <row r="21" spans="2:14" x14ac:dyDescent="0.25">
      <c r="B21" s="36" t="s">
        <v>91</v>
      </c>
      <c r="C21" s="42">
        <v>83</v>
      </c>
      <c r="D21" s="37">
        <f>I20</f>
        <v>92</v>
      </c>
      <c r="E21" s="37" t="s">
        <v>69</v>
      </c>
      <c r="F21" s="38">
        <f>I20/$I$26</f>
        <v>5.9740259740259739E-2</v>
      </c>
      <c r="G21" s="39">
        <v>1</v>
      </c>
      <c r="H21" s="50" t="s">
        <v>92</v>
      </c>
      <c r="I21" s="41">
        <v>83</v>
      </c>
      <c r="M21" s="25"/>
      <c r="N21" s="25"/>
    </row>
    <row r="22" spans="2:14" x14ac:dyDescent="0.25">
      <c r="B22" s="36" t="s">
        <v>92</v>
      </c>
      <c r="C22" s="42">
        <v>83</v>
      </c>
      <c r="D22" s="37">
        <f>I21</f>
        <v>83</v>
      </c>
      <c r="E22" s="37" t="s">
        <v>69</v>
      </c>
      <c r="F22" s="38">
        <f t="shared" ref="F22:F25" si="0">I21/$I$26</f>
        <v>5.3896103896103893E-2</v>
      </c>
      <c r="G22" s="39"/>
      <c r="H22" s="50" t="s">
        <v>93</v>
      </c>
      <c r="I22" s="41">
        <v>260</v>
      </c>
      <c r="M22" s="25"/>
      <c r="N22" s="25"/>
    </row>
    <row r="23" spans="2:14" x14ac:dyDescent="0.25">
      <c r="B23" s="36" t="s">
        <v>93</v>
      </c>
      <c r="C23" s="42">
        <v>260</v>
      </c>
      <c r="D23" s="37">
        <f>I22</f>
        <v>260</v>
      </c>
      <c r="E23" s="37" t="s">
        <v>69</v>
      </c>
      <c r="F23" s="38">
        <f t="shared" si="0"/>
        <v>0.16883116883116883</v>
      </c>
      <c r="G23" s="39"/>
      <c r="H23" s="50" t="s">
        <v>94</v>
      </c>
      <c r="I23" s="41">
        <v>764</v>
      </c>
    </row>
    <row r="24" spans="2:14" x14ac:dyDescent="0.25">
      <c r="B24" s="36" t="s">
        <v>94</v>
      </c>
      <c r="C24" s="42">
        <v>773</v>
      </c>
      <c r="D24" s="37">
        <f>I23</f>
        <v>764</v>
      </c>
      <c r="E24" s="37" t="s">
        <v>69</v>
      </c>
      <c r="F24" s="38">
        <f t="shared" si="0"/>
        <v>0.4961038961038961</v>
      </c>
      <c r="G24" s="39"/>
      <c r="H24" s="50" t="s">
        <v>95</v>
      </c>
      <c r="I24" s="41">
        <v>341</v>
      </c>
    </row>
    <row r="25" spans="2:14" x14ac:dyDescent="0.25">
      <c r="B25" s="36" t="s">
        <v>95</v>
      </c>
      <c r="C25" s="42">
        <v>341</v>
      </c>
      <c r="D25" s="42">
        <f>I24</f>
        <v>341</v>
      </c>
      <c r="E25" s="37" t="s">
        <v>69</v>
      </c>
      <c r="F25" s="38">
        <f t="shared" si="0"/>
        <v>0.22142857142857142</v>
      </c>
      <c r="G25" s="39"/>
      <c r="H25" s="50" t="s">
        <v>97</v>
      </c>
      <c r="I25" s="41">
        <v>0</v>
      </c>
    </row>
    <row r="26" spans="2:14" x14ac:dyDescent="0.25">
      <c r="B26" s="36" t="s">
        <v>96</v>
      </c>
      <c r="C26" s="42">
        <v>203</v>
      </c>
      <c r="D26" s="42">
        <f>I9</f>
        <v>214</v>
      </c>
      <c r="E26" s="37" t="s">
        <v>111</v>
      </c>
      <c r="F26" s="38">
        <f>I9/I11</f>
        <v>7.3062478661659269E-2</v>
      </c>
      <c r="G26" s="39">
        <f>F26</f>
        <v>7.3062478661659269E-2</v>
      </c>
      <c r="H26" s="48" t="s">
        <v>2</v>
      </c>
      <c r="I26" s="49">
        <f>SUM(I20:I25)</f>
        <v>1540</v>
      </c>
    </row>
    <row r="27" spans="2:14" x14ac:dyDescent="0.25">
      <c r="B27" s="36" t="s">
        <v>97</v>
      </c>
      <c r="C27" s="42">
        <v>-5</v>
      </c>
      <c r="D27" s="42">
        <f>I25</f>
        <v>0</v>
      </c>
      <c r="E27" s="37" t="s">
        <v>69</v>
      </c>
      <c r="F27" s="44">
        <v>0</v>
      </c>
      <c r="G27" s="53"/>
      <c r="H27" s="50"/>
      <c r="I27" s="41"/>
    </row>
    <row r="28" spans="2:14" x14ac:dyDescent="0.25">
      <c r="B28" s="46" t="s">
        <v>2</v>
      </c>
      <c r="C28" s="47">
        <f>SUM(C21:C27)</f>
        <v>1738</v>
      </c>
      <c r="D28" s="37"/>
      <c r="E28" s="37"/>
      <c r="F28" s="44"/>
      <c r="G28" s="53"/>
      <c r="H28" s="50" t="s">
        <v>88</v>
      </c>
      <c r="I28" s="41">
        <v>863</v>
      </c>
    </row>
    <row r="29" spans="2:14" x14ac:dyDescent="0.25">
      <c r="B29" s="36"/>
      <c r="C29" s="37"/>
      <c r="D29" s="37"/>
      <c r="E29" s="37"/>
      <c r="F29" s="44"/>
      <c r="G29" s="53"/>
      <c r="H29" s="50" t="s">
        <v>107</v>
      </c>
      <c r="I29" s="41">
        <v>330</v>
      </c>
    </row>
    <row r="30" spans="2:14" x14ac:dyDescent="0.25">
      <c r="B30" s="36" t="s">
        <v>98</v>
      </c>
      <c r="C30" s="42">
        <v>97</v>
      </c>
      <c r="D30" s="37">
        <f>I33</f>
        <v>98</v>
      </c>
      <c r="E30" s="37" t="s">
        <v>70</v>
      </c>
      <c r="F30" s="38">
        <f>I33/$I$38</f>
        <v>8.7266251113089943E-2</v>
      </c>
      <c r="G30" s="39">
        <v>1</v>
      </c>
      <c r="H30" s="50" t="s">
        <v>108</v>
      </c>
      <c r="I30" s="41">
        <v>-3</v>
      </c>
    </row>
    <row r="31" spans="2:14" x14ac:dyDescent="0.25">
      <c r="B31" s="36" t="s">
        <v>99</v>
      </c>
      <c r="C31" s="42">
        <v>257</v>
      </c>
      <c r="D31" s="37">
        <f t="shared" ref="D31:D34" si="1">I34</f>
        <v>258</v>
      </c>
      <c r="E31" s="37" t="s">
        <v>70</v>
      </c>
      <c r="F31" s="38">
        <f t="shared" ref="F31:F34" si="2">I34/$I$38</f>
        <v>0.22974176313446126</v>
      </c>
      <c r="G31" s="51"/>
      <c r="H31" s="48" t="s">
        <v>73</v>
      </c>
      <c r="I31" s="49">
        <f>SUM(I28:I30)</f>
        <v>1190</v>
      </c>
    </row>
    <row r="32" spans="2:14" x14ac:dyDescent="0.25">
      <c r="B32" s="36" t="s">
        <v>100</v>
      </c>
      <c r="C32" s="42">
        <v>528</v>
      </c>
      <c r="D32" s="37">
        <f t="shared" si="1"/>
        <v>462</v>
      </c>
      <c r="E32" s="37" t="s">
        <v>70</v>
      </c>
      <c r="F32" s="38">
        <f t="shared" si="2"/>
        <v>0.41139804096170973</v>
      </c>
      <c r="G32" s="51"/>
      <c r="H32" s="50"/>
      <c r="I32" s="41"/>
    </row>
    <row r="33" spans="2:9" x14ac:dyDescent="0.25">
      <c r="B33" s="36" t="s">
        <v>101</v>
      </c>
      <c r="C33" s="42">
        <v>295</v>
      </c>
      <c r="D33" s="37">
        <f t="shared" si="1"/>
        <v>294</v>
      </c>
      <c r="E33" s="37" t="s">
        <v>70</v>
      </c>
      <c r="F33" s="38">
        <f t="shared" si="2"/>
        <v>0.26179875333926983</v>
      </c>
      <c r="G33" s="51"/>
      <c r="H33" s="50" t="s">
        <v>98</v>
      </c>
      <c r="I33" s="41">
        <v>98</v>
      </c>
    </row>
    <row r="34" spans="2:9" x14ac:dyDescent="0.25">
      <c r="B34" s="36" t="s">
        <v>102</v>
      </c>
      <c r="C34" s="42">
        <v>23</v>
      </c>
      <c r="D34" s="37">
        <f t="shared" si="1"/>
        <v>11</v>
      </c>
      <c r="E34" s="37" t="s">
        <v>70</v>
      </c>
      <c r="F34" s="38">
        <f t="shared" si="2"/>
        <v>9.7951914514692786E-3</v>
      </c>
      <c r="G34" s="51"/>
      <c r="H34" s="50" t="s">
        <v>99</v>
      </c>
      <c r="I34" s="41">
        <v>258</v>
      </c>
    </row>
    <row r="35" spans="2:9" x14ac:dyDescent="0.25">
      <c r="B35" s="46" t="s">
        <v>3</v>
      </c>
      <c r="C35" s="52">
        <f>SUM(C30:C34)</f>
        <v>1200</v>
      </c>
      <c r="D35" s="37"/>
      <c r="E35" s="37"/>
      <c r="F35" s="44"/>
      <c r="G35" s="45"/>
      <c r="H35" s="50" t="s">
        <v>100</v>
      </c>
      <c r="I35" s="41">
        <v>462</v>
      </c>
    </row>
    <row r="36" spans="2:9" x14ac:dyDescent="0.25">
      <c r="B36" s="36"/>
      <c r="C36" s="37"/>
      <c r="D36" s="37"/>
      <c r="E36" s="37"/>
      <c r="F36" s="44"/>
      <c r="G36" s="45"/>
      <c r="H36" s="50" t="s">
        <v>101</v>
      </c>
      <c r="I36" s="41">
        <v>294</v>
      </c>
    </row>
    <row r="37" spans="2:9" x14ac:dyDescent="0.25">
      <c r="B37" s="36" t="s">
        <v>4</v>
      </c>
      <c r="C37" s="42">
        <v>22</v>
      </c>
      <c r="D37" s="37">
        <f>I40</f>
        <v>21</v>
      </c>
      <c r="E37" s="37" t="s">
        <v>4</v>
      </c>
      <c r="F37" s="44">
        <v>1</v>
      </c>
      <c r="G37" s="53">
        <v>1</v>
      </c>
      <c r="H37" s="50" t="s">
        <v>102</v>
      </c>
      <c r="I37" s="41">
        <v>11</v>
      </c>
    </row>
    <row r="38" spans="2:9" x14ac:dyDescent="0.25">
      <c r="B38" s="36" t="s">
        <v>63</v>
      </c>
      <c r="C38" s="42">
        <v>-415</v>
      </c>
      <c r="D38" s="37">
        <f>I41</f>
        <v>-644</v>
      </c>
      <c r="E38" s="37" t="s">
        <v>63</v>
      </c>
      <c r="F38" s="44">
        <v>1</v>
      </c>
      <c r="G38" s="53">
        <v>1</v>
      </c>
      <c r="H38" s="48" t="s">
        <v>3</v>
      </c>
      <c r="I38" s="49">
        <f>SUM(I33:I37)</f>
        <v>1123</v>
      </c>
    </row>
    <row r="39" spans="2:9" x14ac:dyDescent="0.25">
      <c r="B39" s="46" t="s">
        <v>5</v>
      </c>
      <c r="C39" s="52">
        <f>SUM(C11,C19,C28,C35,C37:C38)</f>
        <v>7863</v>
      </c>
      <c r="D39" s="37"/>
      <c r="E39" s="37"/>
      <c r="F39" s="37"/>
      <c r="G39" s="45"/>
      <c r="H39" s="50"/>
      <c r="I39" s="41"/>
    </row>
    <row r="40" spans="2:9" x14ac:dyDescent="0.25">
      <c r="B40" s="36"/>
      <c r="C40" s="37"/>
      <c r="D40" s="37"/>
      <c r="E40" s="37"/>
      <c r="F40" s="37"/>
      <c r="G40" s="54"/>
      <c r="H40" s="50" t="s">
        <v>4</v>
      </c>
      <c r="I40" s="41">
        <v>21</v>
      </c>
    </row>
    <row r="41" spans="2:9" x14ac:dyDescent="0.25">
      <c r="B41" s="36"/>
      <c r="C41" s="37"/>
      <c r="D41" s="37"/>
      <c r="E41" s="37"/>
      <c r="F41" s="37"/>
      <c r="G41" s="54"/>
      <c r="H41" s="50" t="s">
        <v>63</v>
      </c>
      <c r="I41" s="41">
        <v>-644</v>
      </c>
    </row>
    <row r="42" spans="2:9" x14ac:dyDescent="0.25">
      <c r="B42" s="55"/>
      <c r="C42" s="56"/>
      <c r="D42" s="56"/>
      <c r="E42" s="56"/>
      <c r="F42" s="56"/>
      <c r="G42" s="57"/>
      <c r="H42" s="58" t="s">
        <v>5</v>
      </c>
      <c r="I42" s="59">
        <f>SUM(I11,I18,I26,I31,I38,I40:I41)</f>
        <v>7863</v>
      </c>
    </row>
    <row r="43" spans="2:9" x14ac:dyDescent="0.25">
      <c r="B43" s="25"/>
      <c r="C43" s="25"/>
      <c r="D43" s="25"/>
      <c r="E43" s="26"/>
      <c r="F43" s="26"/>
      <c r="G43" s="26"/>
      <c r="H43" s="22"/>
      <c r="I43" s="23"/>
    </row>
    <row r="44" spans="2:9" x14ac:dyDescent="0.25">
      <c r="B44" s="25"/>
      <c r="C44" s="25"/>
      <c r="D44" s="25"/>
      <c r="E44" s="26"/>
      <c r="F44" s="26"/>
      <c r="G44" s="26"/>
      <c r="I44" s="23"/>
    </row>
    <row r="45" spans="2:9" x14ac:dyDescent="0.25">
      <c r="B45" s="25"/>
      <c r="C45" s="25"/>
      <c r="D45" s="25"/>
      <c r="E45" s="26"/>
      <c r="F45" s="26"/>
      <c r="G45" s="26"/>
      <c r="I45" s="23"/>
    </row>
    <row r="46" spans="2:9" x14ac:dyDescent="0.25">
      <c r="B46" s="25"/>
      <c r="C46" s="25"/>
      <c r="D46" s="25"/>
      <c r="E46" s="26"/>
      <c r="F46" s="26"/>
      <c r="G46" s="26"/>
      <c r="I46" s="23"/>
    </row>
    <row r="47" spans="2:9" x14ac:dyDescent="0.25">
      <c r="B47" s="25"/>
      <c r="C47" s="25"/>
      <c r="D47" s="25"/>
      <c r="E47" s="26"/>
      <c r="F47" s="26"/>
      <c r="G47" s="26"/>
      <c r="I47" s="23"/>
    </row>
    <row r="48" spans="2:9" x14ac:dyDescent="0.25">
      <c r="B48" s="25"/>
      <c r="C48" s="25"/>
      <c r="D48" s="25"/>
      <c r="E48" s="25"/>
      <c r="F48" s="25"/>
      <c r="G48" s="25"/>
      <c r="I48" s="23"/>
    </row>
    <row r="49" spans="2:7" x14ac:dyDescent="0.25">
      <c r="B49" s="25"/>
      <c r="C49" s="25"/>
      <c r="D49" s="25"/>
      <c r="E49" s="25"/>
      <c r="F49" s="25"/>
      <c r="G49" s="25"/>
    </row>
    <row r="50" spans="2:7" x14ac:dyDescent="0.25">
      <c r="B50" s="25"/>
      <c r="C50" s="25"/>
      <c r="D50" s="25"/>
      <c r="E50" s="25"/>
      <c r="F50" s="25"/>
      <c r="G50" s="25"/>
    </row>
    <row r="51" spans="2:7" x14ac:dyDescent="0.25">
      <c r="B51" s="25"/>
      <c r="C51" s="25"/>
      <c r="D51" s="25"/>
      <c r="E51" s="25"/>
      <c r="F51" s="25"/>
      <c r="G51" s="25"/>
    </row>
    <row r="52" spans="2:7" x14ac:dyDescent="0.25">
      <c r="B52" s="25"/>
      <c r="C52" s="25"/>
      <c r="D52" s="25"/>
      <c r="E52" s="25"/>
      <c r="F52" s="25"/>
      <c r="G52" s="25"/>
    </row>
    <row r="53" spans="2:7" x14ac:dyDescent="0.25">
      <c r="B53" s="25"/>
      <c r="C53" s="25"/>
      <c r="D53" s="25"/>
      <c r="E53" s="25"/>
      <c r="F53" s="25"/>
      <c r="G53" s="25"/>
    </row>
    <row r="54" spans="2:7" x14ac:dyDescent="0.25">
      <c r="B54" s="25"/>
      <c r="C54" s="25"/>
      <c r="D54" s="25"/>
      <c r="E54" s="25"/>
      <c r="F54" s="25"/>
      <c r="G54" s="25"/>
    </row>
    <row r="55" spans="2:7" x14ac:dyDescent="0.25">
      <c r="B55" s="25"/>
      <c r="C55" s="25"/>
      <c r="D55" s="25"/>
      <c r="E55" s="25"/>
      <c r="F55" s="25"/>
      <c r="G55" s="25"/>
    </row>
    <row r="56" spans="2:7" x14ac:dyDescent="0.25">
      <c r="B56" s="25"/>
      <c r="C56" s="25"/>
      <c r="D56" s="25"/>
      <c r="E56" s="25"/>
      <c r="F56" s="25"/>
      <c r="G56" s="25"/>
    </row>
    <row r="57" spans="2:7" x14ac:dyDescent="0.25">
      <c r="B57" s="25"/>
      <c r="C57" s="25"/>
      <c r="D57" s="25"/>
      <c r="E57" s="25"/>
      <c r="F57" s="25"/>
      <c r="G57" s="25"/>
    </row>
    <row r="58" spans="2:7" x14ac:dyDescent="0.25">
      <c r="B58" s="25"/>
      <c r="C58" s="25"/>
      <c r="D58" s="25"/>
      <c r="E58" s="25"/>
      <c r="F58" s="25"/>
      <c r="G58" s="25"/>
    </row>
    <row r="59" spans="2:7" x14ac:dyDescent="0.25">
      <c r="B59" s="25"/>
      <c r="C59" s="25"/>
      <c r="D59" s="25"/>
      <c r="E59" s="25"/>
      <c r="F59" s="25"/>
      <c r="G59" s="25"/>
    </row>
    <row r="60" spans="2:7" x14ac:dyDescent="0.25">
      <c r="B60" s="25"/>
      <c r="C60" s="25"/>
      <c r="D60" s="25"/>
      <c r="E60" s="25"/>
      <c r="F60" s="25"/>
      <c r="G60" s="25"/>
    </row>
    <row r="61" spans="2:7" x14ac:dyDescent="0.25">
      <c r="B61" s="25"/>
      <c r="C61" s="25"/>
      <c r="D61" s="25"/>
      <c r="E61" s="25"/>
      <c r="F61" s="25"/>
      <c r="G61" s="25"/>
    </row>
    <row r="62" spans="2:7" x14ac:dyDescent="0.25">
      <c r="B62" s="25"/>
      <c r="C62" s="25"/>
    </row>
    <row r="63" spans="2:7" x14ac:dyDescent="0.25">
      <c r="B63" s="25"/>
      <c r="C63" s="25"/>
    </row>
    <row r="64" spans="2:7" x14ac:dyDescent="0.25">
      <c r="B64" s="25"/>
      <c r="C64" s="25"/>
    </row>
    <row r="65" spans="2:3" x14ac:dyDescent="0.25">
      <c r="B65" s="25"/>
      <c r="C65" s="25"/>
    </row>
    <row r="66" spans="2:3" x14ac:dyDescent="0.25">
      <c r="B66" s="25"/>
      <c r="C66" s="25"/>
    </row>
    <row r="67" spans="2:3" x14ac:dyDescent="0.25">
      <c r="B67" s="25"/>
      <c r="C67" s="25"/>
    </row>
    <row r="68" spans="2:3" x14ac:dyDescent="0.25">
      <c r="B68" s="25"/>
      <c r="C68" s="25"/>
    </row>
    <row r="69" spans="2:3" x14ac:dyDescent="0.25">
      <c r="B69" s="25"/>
      <c r="C69" s="25"/>
    </row>
    <row r="70" spans="2:3" x14ac:dyDescent="0.25">
      <c r="B70" s="25"/>
      <c r="C70" s="25"/>
    </row>
    <row r="71" spans="2:3" x14ac:dyDescent="0.25">
      <c r="B71" s="25"/>
      <c r="C71" s="25"/>
    </row>
    <row r="72" spans="2:3" x14ac:dyDescent="0.25">
      <c r="B72" s="25"/>
      <c r="C72" s="25"/>
    </row>
    <row r="73" spans="2:3" x14ac:dyDescent="0.25">
      <c r="B73" s="25"/>
      <c r="C73" s="25"/>
    </row>
    <row r="74" spans="2:3" x14ac:dyDescent="0.25">
      <c r="B74" s="25"/>
      <c r="C74" s="25"/>
    </row>
    <row r="75" spans="2:3" x14ac:dyDescent="0.25">
      <c r="B75" s="25"/>
      <c r="C75" s="25"/>
    </row>
    <row r="76" spans="2:3" x14ac:dyDescent="0.25">
      <c r="B76" s="25"/>
      <c r="C76" s="25"/>
    </row>
    <row r="77" spans="2:3" x14ac:dyDescent="0.25">
      <c r="B77" s="25"/>
      <c r="C77" s="25"/>
    </row>
    <row r="78" spans="2:3" x14ac:dyDescent="0.25">
      <c r="B78" s="25"/>
      <c r="C78" s="25"/>
    </row>
    <row r="79" spans="2:3" x14ac:dyDescent="0.25">
      <c r="B79" s="25"/>
      <c r="C79" s="25"/>
    </row>
    <row r="80" spans="2:3" x14ac:dyDescent="0.25">
      <c r="B80" s="25"/>
      <c r="C80" s="25"/>
    </row>
    <row r="81" spans="2:3" x14ac:dyDescent="0.25">
      <c r="B81" s="25"/>
      <c r="C81" s="25"/>
    </row>
    <row r="82" spans="2:3" x14ac:dyDescent="0.25">
      <c r="B82" s="25"/>
      <c r="C82" s="25"/>
    </row>
    <row r="83" spans="2:3" x14ac:dyDescent="0.25">
      <c r="B83" s="25"/>
      <c r="C83" s="25"/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57B73-6F19-48DE-95E9-074CA31075AB}">
  <dimension ref="A1:AM38"/>
  <sheetViews>
    <sheetView workbookViewId="0">
      <pane xSplit="1" topLeftCell="B1" activePane="topRight" state="frozen"/>
      <selection pane="topRight" activeCell="I41" sqref="I41"/>
    </sheetView>
  </sheetViews>
  <sheetFormatPr baseColWidth="10" defaultRowHeight="15" x14ac:dyDescent="0.25"/>
  <cols>
    <col min="1" max="1" width="40" customWidth="1"/>
    <col min="2" max="15" width="14" bestFit="1" customWidth="1"/>
    <col min="16" max="16" width="15" bestFit="1" customWidth="1"/>
    <col min="17" max="39" width="14" bestFit="1" customWidth="1"/>
  </cols>
  <sheetData>
    <row r="1" spans="1:39" x14ac:dyDescent="0.25">
      <c r="A1" s="11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30</v>
      </c>
      <c r="W1" s="2" t="s">
        <v>31</v>
      </c>
      <c r="X1" s="2" t="s">
        <v>32</v>
      </c>
      <c r="Y1" s="2" t="s">
        <v>33</v>
      </c>
      <c r="Z1" s="2" t="s">
        <v>34</v>
      </c>
      <c r="AA1" s="2" t="s">
        <v>35</v>
      </c>
      <c r="AB1" s="2" t="s">
        <v>36</v>
      </c>
      <c r="AC1" s="2" t="s">
        <v>37</v>
      </c>
      <c r="AD1" s="2" t="s">
        <v>38</v>
      </c>
      <c r="AE1" s="2" t="s">
        <v>39</v>
      </c>
      <c r="AF1" s="2" t="s">
        <v>40</v>
      </c>
      <c r="AG1" s="2" t="s">
        <v>41</v>
      </c>
      <c r="AH1" s="2" t="s">
        <v>42</v>
      </c>
      <c r="AI1" s="2" t="s">
        <v>43</v>
      </c>
      <c r="AJ1" s="2" t="s">
        <v>44</v>
      </c>
      <c r="AK1" s="2" t="s">
        <v>45</v>
      </c>
      <c r="AL1" s="2" t="s">
        <v>46</v>
      </c>
      <c r="AM1" s="2" t="s">
        <v>47</v>
      </c>
    </row>
    <row r="2" spans="1:39" x14ac:dyDescent="0.25">
      <c r="A2" s="3" t="s">
        <v>1</v>
      </c>
      <c r="B2" s="15">
        <v>2924</v>
      </c>
      <c r="C2" s="16">
        <v>3051</v>
      </c>
      <c r="D2" s="17">
        <f>12880-SUM(E2:G2)</f>
        <v>3064</v>
      </c>
      <c r="E2" s="17">
        <v>3235</v>
      </c>
      <c r="F2" s="18">
        <v>3254</v>
      </c>
      <c r="G2" s="19">
        <v>3327</v>
      </c>
      <c r="H2" s="17">
        <f>11767-SUM(I2:K2)</f>
        <v>3140</v>
      </c>
      <c r="I2" s="17">
        <v>3024</v>
      </c>
      <c r="J2" s="20">
        <v>2668</v>
      </c>
      <c r="K2" s="19">
        <v>2935</v>
      </c>
      <c r="L2" s="17">
        <f>11514-SUM(M2:O2)</f>
        <v>2741</v>
      </c>
      <c r="M2" s="17">
        <v>2849</v>
      </c>
      <c r="N2" s="20">
        <v>2961</v>
      </c>
      <c r="O2" s="17">
        <v>2963</v>
      </c>
      <c r="P2" s="17">
        <f>12414-SUM(Q2:S2)</f>
        <v>6140</v>
      </c>
      <c r="Q2" s="21">
        <v>3021</v>
      </c>
      <c r="R2" s="15">
        <v>3253</v>
      </c>
      <c r="S2" s="19"/>
      <c r="T2" s="17"/>
      <c r="U2" s="17"/>
      <c r="V2" s="18"/>
      <c r="W2" s="19"/>
      <c r="X2" s="17"/>
      <c r="Y2" s="17"/>
      <c r="Z2" s="18"/>
      <c r="AA2" s="19"/>
      <c r="AB2" s="17"/>
      <c r="AC2" s="17"/>
      <c r="AD2" s="18"/>
      <c r="AE2" s="19"/>
      <c r="AF2" s="17"/>
      <c r="AG2" s="17"/>
      <c r="AH2" s="18"/>
      <c r="AI2" s="19"/>
      <c r="AJ2" s="17"/>
      <c r="AK2" s="17"/>
      <c r="AL2" s="18"/>
      <c r="AM2" s="16"/>
    </row>
    <row r="3" spans="1:39" x14ac:dyDescent="0.25">
      <c r="A3" s="3" t="s">
        <v>48</v>
      </c>
      <c r="B3" s="15">
        <v>2268</v>
      </c>
      <c r="C3" s="16">
        <v>2340</v>
      </c>
      <c r="D3" s="17">
        <f>9769-SUM(E3:G3)</f>
        <v>2306</v>
      </c>
      <c r="E3" s="19">
        <v>2450</v>
      </c>
      <c r="F3" s="18">
        <v>2482</v>
      </c>
      <c r="G3" s="19">
        <v>2531</v>
      </c>
      <c r="H3" s="17">
        <f>8827-SUM(I3:K3)</f>
        <v>2338</v>
      </c>
      <c r="I3" s="19">
        <v>2314</v>
      </c>
      <c r="J3" s="20">
        <v>1937</v>
      </c>
      <c r="K3" s="19">
        <v>2238</v>
      </c>
      <c r="L3" s="17">
        <f>9591-SUM(M3:O3)</f>
        <v>2281</v>
      </c>
      <c r="M3" s="17">
        <v>2503</v>
      </c>
      <c r="N3" s="20">
        <v>2452</v>
      </c>
      <c r="O3" s="17">
        <v>2355</v>
      </c>
      <c r="P3" s="17">
        <f>10104-SUM(Q3:S3)</f>
        <v>4958</v>
      </c>
      <c r="Q3" s="21">
        <v>2619</v>
      </c>
      <c r="R3" s="15">
        <v>2527</v>
      </c>
      <c r="S3" s="19"/>
      <c r="T3" s="17"/>
      <c r="U3" s="17"/>
      <c r="V3" s="18"/>
      <c r="W3" s="19"/>
      <c r="X3" s="17"/>
      <c r="Y3" s="17"/>
      <c r="Z3" s="18"/>
      <c r="AA3" s="19"/>
      <c r="AB3" s="17"/>
      <c r="AC3" s="17"/>
      <c r="AD3" s="18"/>
      <c r="AE3" s="19"/>
      <c r="AF3" s="17"/>
      <c r="AG3" s="17"/>
      <c r="AH3" s="18"/>
      <c r="AI3" s="19"/>
      <c r="AJ3" s="17"/>
      <c r="AK3" s="17"/>
      <c r="AL3" s="18"/>
      <c r="AM3" s="16"/>
    </row>
    <row r="4" spans="1:39" x14ac:dyDescent="0.25">
      <c r="A4" s="1" t="s">
        <v>2</v>
      </c>
      <c r="B4" s="15">
        <v>2179</v>
      </c>
      <c r="C4" s="16">
        <v>2124</v>
      </c>
      <c r="D4" s="17">
        <f>9050-SUM(E4:G4)</f>
        <v>2275</v>
      </c>
      <c r="E4" s="19">
        <v>2249</v>
      </c>
      <c r="F4" s="18">
        <v>2278</v>
      </c>
      <c r="G4" s="19">
        <v>2248</v>
      </c>
      <c r="H4" s="17">
        <f>8345-SUM(I4:K4)</f>
        <v>2257</v>
      </c>
      <c r="I4" s="19">
        <v>2160</v>
      </c>
      <c r="J4" s="20">
        <v>1825</v>
      </c>
      <c r="K4" s="19">
        <v>2103</v>
      </c>
      <c r="L4" s="17">
        <f>7431-SUM(M4:O4)</f>
        <v>2141</v>
      </c>
      <c r="M4" s="17">
        <v>1721</v>
      </c>
      <c r="N4" s="20">
        <v>1831</v>
      </c>
      <c r="O4" s="17">
        <v>1738</v>
      </c>
      <c r="P4" s="17">
        <f>6821-SUM(Q4:S4)</f>
        <v>3448</v>
      </c>
      <c r="Q4" s="21">
        <v>1643</v>
      </c>
      <c r="R4" s="15">
        <v>1730</v>
      </c>
      <c r="S4" s="19"/>
      <c r="T4" s="17"/>
      <c r="U4" s="17"/>
      <c r="V4" s="18"/>
      <c r="W4" s="19"/>
      <c r="X4" s="17"/>
      <c r="Y4" s="17"/>
      <c r="Z4" s="18"/>
      <c r="AA4" s="19"/>
      <c r="AB4" s="17"/>
      <c r="AC4" s="17"/>
      <c r="AD4" s="18"/>
      <c r="AE4" s="19"/>
      <c r="AF4" s="17"/>
      <c r="AG4" s="17"/>
      <c r="AH4" s="18"/>
      <c r="AI4" s="19"/>
      <c r="AJ4" s="17"/>
      <c r="AK4" s="17"/>
      <c r="AL4" s="18"/>
      <c r="AM4" s="16"/>
    </row>
    <row r="5" spans="1:39" x14ac:dyDescent="0.25">
      <c r="A5" s="1" t="s">
        <v>3</v>
      </c>
      <c r="B5" s="15">
        <v>1330</v>
      </c>
      <c r="C5" s="16">
        <v>1313</v>
      </c>
      <c r="D5" s="17">
        <f>5856-SUM(E5:G5)</f>
        <v>1476</v>
      </c>
      <c r="E5" s="19">
        <v>1525</v>
      </c>
      <c r="F5" s="18">
        <v>1482</v>
      </c>
      <c r="G5" s="19">
        <v>1373</v>
      </c>
      <c r="H5" s="17">
        <f>5336-SUM(I5:K5)</f>
        <v>1425</v>
      </c>
      <c r="I5" s="19">
        <v>1417</v>
      </c>
      <c r="J5" s="20">
        <v>1238</v>
      </c>
      <c r="K5" s="19">
        <v>1256</v>
      </c>
      <c r="L5" s="17">
        <f>5151-SUM(M5:O5)</f>
        <v>1324</v>
      </c>
      <c r="M5" s="17">
        <v>1324</v>
      </c>
      <c r="N5" s="20">
        <v>1303</v>
      </c>
      <c r="O5" s="17">
        <v>1200</v>
      </c>
      <c r="P5" s="17">
        <f>5127-SUM(Q5:S5)</f>
        <v>1371</v>
      </c>
      <c r="Q5" s="21">
        <v>1302</v>
      </c>
      <c r="R5" s="15">
        <v>1309</v>
      </c>
      <c r="S5" s="19">
        <f>S14</f>
        <v>1145</v>
      </c>
      <c r="T5" s="19">
        <f t="shared" ref="T5:AM5" si="0">T14</f>
        <v>1210</v>
      </c>
      <c r="U5" s="19">
        <f t="shared" si="0"/>
        <v>1279</v>
      </c>
      <c r="V5" s="19">
        <f t="shared" si="0"/>
        <v>1169</v>
      </c>
      <c r="W5" s="19">
        <f t="shared" si="0"/>
        <v>1073</v>
      </c>
      <c r="X5" s="19">
        <f t="shared" si="0"/>
        <v>1094</v>
      </c>
      <c r="Y5" s="19">
        <f t="shared" si="0"/>
        <v>1209</v>
      </c>
      <c r="Z5" s="19">
        <f t="shared" si="0"/>
        <v>1130</v>
      </c>
      <c r="AA5" s="19">
        <f t="shared" si="0"/>
        <v>1049</v>
      </c>
      <c r="AB5" s="19">
        <f t="shared" si="0"/>
        <v>1101</v>
      </c>
      <c r="AC5" s="19">
        <f t="shared" si="0"/>
        <v>1162</v>
      </c>
      <c r="AD5" s="19">
        <f t="shared" si="0"/>
        <v>1111</v>
      </c>
      <c r="AE5" s="19">
        <f t="shared" si="0"/>
        <v>1048</v>
      </c>
      <c r="AF5" s="19">
        <f t="shared" si="0"/>
        <v>1128</v>
      </c>
      <c r="AG5" s="19">
        <f t="shared" si="0"/>
        <v>1177</v>
      </c>
      <c r="AH5" s="19">
        <f t="shared" si="0"/>
        <v>1139</v>
      </c>
      <c r="AI5" s="19">
        <f t="shared" si="0"/>
        <v>1079</v>
      </c>
      <c r="AJ5" s="19">
        <f t="shared" si="0"/>
        <v>1103</v>
      </c>
      <c r="AK5" s="19">
        <f t="shared" si="0"/>
        <v>1153</v>
      </c>
      <c r="AL5" s="19">
        <f t="shared" si="0"/>
        <v>1098</v>
      </c>
      <c r="AM5" s="19">
        <f t="shared" si="0"/>
        <v>1081</v>
      </c>
    </row>
    <row r="6" spans="1:39" x14ac:dyDescent="0.25">
      <c r="A6" s="1" t="s">
        <v>4</v>
      </c>
      <c r="B6" s="15">
        <v>1</v>
      </c>
      <c r="C6" s="16">
        <v>1</v>
      </c>
      <c r="D6" s="17">
        <f>2-SUM(E6:G6)</f>
        <v>0</v>
      </c>
      <c r="E6" s="19">
        <v>3</v>
      </c>
      <c r="F6" s="18">
        <v>1</v>
      </c>
      <c r="G6" s="19">
        <v>-2</v>
      </c>
      <c r="H6" s="17">
        <f>-1-SUM(I6:K6)</f>
        <v>0</v>
      </c>
      <c r="I6" s="19">
        <v>0</v>
      </c>
      <c r="J6" s="18">
        <v>-2</v>
      </c>
      <c r="K6" s="19">
        <v>1</v>
      </c>
      <c r="L6" s="17">
        <f>110-SUM(M6:O6)</f>
        <v>12</v>
      </c>
      <c r="M6" s="19">
        <v>28</v>
      </c>
      <c r="N6" s="18">
        <v>48</v>
      </c>
      <c r="O6" s="17">
        <v>22</v>
      </c>
      <c r="P6" s="17">
        <f>50-SUM(Q6:S6)</f>
        <v>3</v>
      </c>
      <c r="Q6" s="16">
        <v>35</v>
      </c>
      <c r="R6" s="15">
        <v>12</v>
      </c>
      <c r="S6" s="19">
        <f>S15</f>
        <v>0</v>
      </c>
      <c r="T6" s="19">
        <f t="shared" ref="T6:AM6" si="1">T15</f>
        <v>-3</v>
      </c>
      <c r="U6" s="19">
        <f t="shared" si="1"/>
        <v>3</v>
      </c>
      <c r="V6" s="19">
        <f t="shared" si="1"/>
        <v>2</v>
      </c>
      <c r="W6" s="19">
        <f t="shared" si="1"/>
        <v>1</v>
      </c>
      <c r="X6" s="19">
        <f t="shared" si="1"/>
        <v>2</v>
      </c>
      <c r="Y6" s="19">
        <f t="shared" si="1"/>
        <v>2</v>
      </c>
      <c r="Z6" s="19">
        <f t="shared" si="1"/>
        <v>4</v>
      </c>
      <c r="AA6" s="19">
        <f t="shared" si="1"/>
        <v>1</v>
      </c>
      <c r="AB6" s="19">
        <f t="shared" si="1"/>
        <v>2</v>
      </c>
      <c r="AC6" s="19">
        <f t="shared" si="1"/>
        <v>1</v>
      </c>
      <c r="AD6" s="19">
        <f t="shared" si="1"/>
        <v>-4</v>
      </c>
      <c r="AE6" s="19">
        <f t="shared" si="1"/>
        <v>2</v>
      </c>
      <c r="AF6" s="19">
        <f t="shared" si="1"/>
        <v>0</v>
      </c>
      <c r="AG6" s="19">
        <f t="shared" si="1"/>
        <v>3</v>
      </c>
      <c r="AH6" s="19">
        <f t="shared" si="1"/>
        <v>-1</v>
      </c>
      <c r="AI6" s="19">
        <f t="shared" si="1"/>
        <v>3</v>
      </c>
      <c r="AJ6" s="19">
        <f t="shared" si="1"/>
        <v>2</v>
      </c>
      <c r="AK6" s="19">
        <f t="shared" si="1"/>
        <v>3</v>
      </c>
      <c r="AL6" s="19">
        <f t="shared" si="1"/>
        <v>1</v>
      </c>
      <c r="AM6" s="19">
        <f t="shared" si="1"/>
        <v>2</v>
      </c>
    </row>
    <row r="7" spans="1:39" x14ac:dyDescent="0.25">
      <c r="A7" s="5" t="s">
        <v>63</v>
      </c>
      <c r="B7" s="18">
        <v>0</v>
      </c>
      <c r="C7" s="19">
        <v>0</v>
      </c>
      <c r="D7" s="17">
        <f>-2202-SUM(E7:G7)</f>
        <v>-509</v>
      </c>
      <c r="E7" s="19">
        <v>-520</v>
      </c>
      <c r="F7" s="18">
        <v>-547</v>
      </c>
      <c r="G7" s="19">
        <v>-626</v>
      </c>
      <c r="H7" s="17">
        <f>-2090-SUM(I7:K7)</f>
        <v>-577</v>
      </c>
      <c r="I7" s="19">
        <v>-565</v>
      </c>
      <c r="J7" s="18">
        <v>-490</v>
      </c>
      <c r="K7" s="19">
        <v>-458</v>
      </c>
      <c r="L7" s="17">
        <f>-1661-SUM(M7:O7)</f>
        <v>-388</v>
      </c>
      <c r="M7" s="19">
        <v>-434</v>
      </c>
      <c r="N7" s="18">
        <v>-424</v>
      </c>
      <c r="O7" s="17">
        <v>-415</v>
      </c>
      <c r="P7" s="17">
        <f>-1751-SUM(Q7:S7)</f>
        <v>-374</v>
      </c>
      <c r="Q7" s="16">
        <v>-468</v>
      </c>
      <c r="R7" s="15">
        <v>-441</v>
      </c>
      <c r="S7" s="19">
        <v>-468</v>
      </c>
      <c r="T7" s="17">
        <f>T16</f>
        <v>-632</v>
      </c>
      <c r="U7" s="17">
        <f t="shared" ref="U7:AM7" si="2">U16</f>
        <v>-684</v>
      </c>
      <c r="V7" s="17">
        <f t="shared" si="2"/>
        <v>-615</v>
      </c>
      <c r="W7" s="17">
        <f t="shared" si="2"/>
        <v>-601</v>
      </c>
      <c r="X7" s="17">
        <f t="shared" si="2"/>
        <v>-179</v>
      </c>
      <c r="Y7" s="17">
        <f t="shared" si="2"/>
        <v>-186</v>
      </c>
      <c r="Z7" s="17">
        <f t="shared" si="2"/>
        <v>-187</v>
      </c>
      <c r="AA7" s="17">
        <f t="shared" si="2"/>
        <v>-156</v>
      </c>
      <c r="AB7" s="17">
        <f t="shared" si="2"/>
        <v>-150</v>
      </c>
      <c r="AC7" s="17">
        <f t="shared" si="2"/>
        <v>-168</v>
      </c>
      <c r="AD7" s="17">
        <f t="shared" si="2"/>
        <v>-161</v>
      </c>
      <c r="AE7" s="17">
        <f t="shared" si="2"/>
        <v>-153</v>
      </c>
      <c r="AF7" s="17">
        <f t="shared" si="2"/>
        <v>-165</v>
      </c>
      <c r="AG7" s="17">
        <f t="shared" si="2"/>
        <v>-153</v>
      </c>
      <c r="AH7" s="17">
        <f t="shared" si="2"/>
        <v>-151</v>
      </c>
      <c r="AI7" s="17">
        <f t="shared" si="2"/>
        <v>-135</v>
      </c>
      <c r="AJ7" s="17">
        <f t="shared" si="2"/>
        <v>-133</v>
      </c>
      <c r="AK7" s="17">
        <f t="shared" si="2"/>
        <v>-138</v>
      </c>
      <c r="AL7" s="17">
        <f t="shared" si="2"/>
        <v>-140</v>
      </c>
      <c r="AM7" s="17">
        <f t="shared" si="2"/>
        <v>-129</v>
      </c>
    </row>
    <row r="8" spans="1:39" x14ac:dyDescent="0.25">
      <c r="A8" s="1" t="s">
        <v>5</v>
      </c>
      <c r="B8" s="15">
        <v>8702</v>
      </c>
      <c r="C8" s="16">
        <v>8829</v>
      </c>
      <c r="D8" s="17">
        <f>35355-SUM(E8:G8)</f>
        <v>8612</v>
      </c>
      <c r="E8" s="19">
        <v>8942</v>
      </c>
      <c r="F8" s="18">
        <v>8950</v>
      </c>
      <c r="G8" s="19">
        <v>8851</v>
      </c>
      <c r="H8" s="17">
        <v>8583</v>
      </c>
      <c r="I8" s="19">
        <v>8350</v>
      </c>
      <c r="J8" s="18">
        <v>7176</v>
      </c>
      <c r="K8" s="19">
        <v>8075</v>
      </c>
      <c r="L8" s="17">
        <f>32136-SUM(M8:O8)</f>
        <v>8111</v>
      </c>
      <c r="M8" s="17">
        <v>7991</v>
      </c>
      <c r="N8" s="18">
        <v>8171</v>
      </c>
      <c r="O8" s="19">
        <v>7863</v>
      </c>
      <c r="P8" s="17">
        <f>32765-SUM(Q8:S8)</f>
        <v>16223</v>
      </c>
      <c r="Q8" s="21">
        <v>8152</v>
      </c>
      <c r="R8" s="15">
        <v>8390</v>
      </c>
      <c r="S8" s="19"/>
      <c r="T8" s="17"/>
      <c r="U8" s="17"/>
      <c r="V8" s="18"/>
      <c r="W8" s="19"/>
      <c r="X8" s="17"/>
      <c r="Y8" s="17"/>
      <c r="Z8" s="18"/>
      <c r="AA8" s="19"/>
      <c r="AB8" s="17"/>
      <c r="AC8" s="17"/>
      <c r="AD8" s="18"/>
      <c r="AE8" s="19"/>
      <c r="AF8" s="17"/>
      <c r="AG8" s="17"/>
      <c r="AH8" s="18"/>
      <c r="AI8" s="19"/>
      <c r="AJ8" s="17"/>
      <c r="AK8" s="17"/>
      <c r="AL8" s="18"/>
      <c r="AM8" s="16"/>
    </row>
    <row r="9" spans="1:39" x14ac:dyDescent="0.25">
      <c r="B9" s="21"/>
      <c r="C9" s="21"/>
      <c r="D9" s="21"/>
      <c r="E9" s="21"/>
      <c r="F9" s="21"/>
      <c r="G9" s="21"/>
      <c r="H9" s="17"/>
      <c r="I9" s="17"/>
      <c r="J9" s="18"/>
      <c r="K9" s="19"/>
      <c r="L9" s="17"/>
      <c r="M9" s="17"/>
      <c r="N9" s="18"/>
      <c r="O9" s="19"/>
      <c r="P9" s="17"/>
      <c r="Q9" s="17"/>
      <c r="R9" s="18"/>
      <c r="S9" s="19"/>
      <c r="T9" s="17"/>
      <c r="U9" s="17"/>
      <c r="V9" s="18"/>
      <c r="W9" s="19"/>
      <c r="X9" s="17"/>
      <c r="Y9" s="17"/>
      <c r="Z9" s="18"/>
      <c r="AA9" s="19"/>
      <c r="AB9" s="17"/>
      <c r="AC9" s="17"/>
      <c r="AD9" s="18"/>
      <c r="AE9" s="19"/>
      <c r="AF9" s="17"/>
      <c r="AG9" s="17"/>
      <c r="AH9" s="18"/>
      <c r="AI9" s="19"/>
      <c r="AJ9" s="17"/>
      <c r="AK9" s="17"/>
      <c r="AL9" s="18"/>
      <c r="AM9" s="19"/>
    </row>
    <row r="10" spans="1:39" x14ac:dyDescent="0.25">
      <c r="A10" s="1" t="s">
        <v>71</v>
      </c>
      <c r="B10" s="21"/>
      <c r="C10" s="21"/>
      <c r="D10" s="21"/>
      <c r="E10" s="21"/>
      <c r="F10" s="21"/>
      <c r="G10" s="21"/>
      <c r="H10" s="17"/>
      <c r="I10" s="17"/>
      <c r="J10" s="18"/>
      <c r="K10" s="19"/>
      <c r="L10" s="17"/>
      <c r="M10" s="17"/>
      <c r="N10" s="18"/>
      <c r="O10" s="19">
        <v>2929</v>
      </c>
      <c r="P10" s="17">
        <v>2952</v>
      </c>
      <c r="Q10" s="17">
        <v>3023</v>
      </c>
      <c r="R10" s="18">
        <v>3148</v>
      </c>
      <c r="S10" s="19">
        <v>3135</v>
      </c>
      <c r="T10" s="18">
        <v>2961</v>
      </c>
      <c r="U10" s="18">
        <v>3023</v>
      </c>
      <c r="V10" s="18">
        <v>2946</v>
      </c>
      <c r="W10" s="19">
        <v>2936</v>
      </c>
      <c r="X10" s="17">
        <f>10313-SUM(Y10:AA10)</f>
        <v>2524</v>
      </c>
      <c r="Y10" s="18">
        <v>2582</v>
      </c>
      <c r="Z10" s="18">
        <v>2631</v>
      </c>
      <c r="AA10" s="19">
        <v>2576</v>
      </c>
      <c r="AB10" s="17">
        <f>10295-SUM(AC10:AE10)</f>
        <v>2450</v>
      </c>
      <c r="AC10" s="17">
        <v>2557</v>
      </c>
      <c r="AD10" s="18">
        <v>2632</v>
      </c>
      <c r="AE10" s="19">
        <v>2656</v>
      </c>
      <c r="AF10" s="17">
        <f>10985-SUM(AG10:AI10)</f>
        <v>2622</v>
      </c>
      <c r="AG10" s="17">
        <v>2772</v>
      </c>
      <c r="AH10" s="18">
        <v>2815</v>
      </c>
      <c r="AI10" s="19">
        <v>2776</v>
      </c>
      <c r="AJ10" s="17">
        <f>10584-SUM(AK10:AM10)</f>
        <v>2516</v>
      </c>
      <c r="AK10" s="17">
        <v>2692</v>
      </c>
      <c r="AL10" s="18">
        <v>2683</v>
      </c>
      <c r="AM10" s="19">
        <v>2693</v>
      </c>
    </row>
    <row r="11" spans="1:39" x14ac:dyDescent="0.25">
      <c r="A11" s="1" t="s">
        <v>72</v>
      </c>
      <c r="B11" s="21"/>
      <c r="C11" s="21"/>
      <c r="D11" s="21"/>
      <c r="E11" s="21"/>
      <c r="F11" s="21"/>
      <c r="G11" s="21"/>
      <c r="H11" s="17"/>
      <c r="I11" s="17"/>
      <c r="J11" s="17"/>
      <c r="K11" s="17"/>
      <c r="L11" s="17"/>
      <c r="M11" s="17"/>
      <c r="N11" s="17"/>
      <c r="O11" s="17">
        <v>1704</v>
      </c>
      <c r="P11" s="17">
        <v>1569</v>
      </c>
      <c r="Q11" s="17">
        <v>1660</v>
      </c>
      <c r="R11" s="18">
        <v>1815</v>
      </c>
      <c r="S11" s="17">
        <v>1779</v>
      </c>
      <c r="T11" s="17">
        <v>1565</v>
      </c>
      <c r="U11" s="17">
        <v>1551</v>
      </c>
      <c r="V11" s="17">
        <v>1569</v>
      </c>
      <c r="W11" s="17">
        <v>1550</v>
      </c>
      <c r="X11" s="17">
        <f>5660-SUM(Y11:AA11)</f>
        <v>1301</v>
      </c>
      <c r="Y11" s="17">
        <v>1448</v>
      </c>
      <c r="Z11" s="17">
        <v>1499</v>
      </c>
      <c r="AA11" s="17">
        <v>1412</v>
      </c>
      <c r="AB11" s="17">
        <f>5515-SUM(AC11:AE11)</f>
        <v>1294</v>
      </c>
      <c r="AC11" s="17">
        <v>1417</v>
      </c>
      <c r="AD11" s="17">
        <v>1432</v>
      </c>
      <c r="AE11" s="17">
        <v>1372</v>
      </c>
      <c r="AF11" s="17">
        <f>5732-SUM(AG11:AI11)</f>
        <v>1367</v>
      </c>
      <c r="AG11" s="17">
        <v>1448</v>
      </c>
      <c r="AH11" s="17">
        <v>1494</v>
      </c>
      <c r="AI11" s="17">
        <v>1423</v>
      </c>
      <c r="AJ11" s="17">
        <f>5657-SUM(AK11:AM11)</f>
        <v>1395</v>
      </c>
      <c r="AK11" s="17">
        <v>1429</v>
      </c>
      <c r="AL11" s="17">
        <v>1434</v>
      </c>
      <c r="AM11" s="17">
        <v>1399</v>
      </c>
    </row>
    <row r="12" spans="1:39" x14ac:dyDescent="0.25">
      <c r="A12" s="1" t="s">
        <v>2</v>
      </c>
      <c r="B12" s="21"/>
      <c r="C12" s="21"/>
      <c r="D12" s="21"/>
      <c r="E12" s="21"/>
      <c r="F12" s="21"/>
      <c r="G12" s="21"/>
      <c r="H12" s="17"/>
      <c r="I12" s="17"/>
      <c r="J12" s="17"/>
      <c r="K12" s="17"/>
      <c r="L12" s="17"/>
      <c r="M12" s="17"/>
      <c r="N12" s="17"/>
      <c r="O12" s="17">
        <v>1540</v>
      </c>
      <c r="P12" s="17">
        <v>1520</v>
      </c>
      <c r="Q12" s="17">
        <v>1445</v>
      </c>
      <c r="R12" s="18">
        <v>1520</v>
      </c>
      <c r="S12" s="17">
        <v>1535</v>
      </c>
      <c r="T12" s="17">
        <v>1484</v>
      </c>
      <c r="U12" s="17">
        <v>1485</v>
      </c>
      <c r="V12" s="17">
        <v>1449</v>
      </c>
      <c r="W12" s="17">
        <v>1435</v>
      </c>
      <c r="X12" s="17">
        <f>5527-SUM(Y12:AA12)</f>
        <v>1379</v>
      </c>
      <c r="Y12" s="17">
        <v>1361</v>
      </c>
      <c r="Z12" s="17">
        <v>1404</v>
      </c>
      <c r="AA12" s="17">
        <v>1383</v>
      </c>
      <c r="AB12" s="17">
        <f>5420-SUM(AC12:AE12)</f>
        <v>1381</v>
      </c>
      <c r="AC12" s="17">
        <v>1346</v>
      </c>
      <c r="AD12" s="17">
        <v>1364</v>
      </c>
      <c r="AE12" s="17">
        <v>1329</v>
      </c>
      <c r="AF12" s="17">
        <f>5572-SUM(AG12:AI12)</f>
        <v>1392</v>
      </c>
      <c r="AG12" s="17">
        <v>1390</v>
      </c>
      <c r="AH12" s="17">
        <v>1416</v>
      </c>
      <c r="AI12" s="17">
        <v>1374</v>
      </c>
      <c r="AJ12" s="17">
        <f>5334-SUM(AK12:AM12)</f>
        <v>1359</v>
      </c>
      <c r="AK12" s="17">
        <v>1328</v>
      </c>
      <c r="AL12" s="17">
        <v>1336</v>
      </c>
      <c r="AM12" s="17">
        <v>1311</v>
      </c>
    </row>
    <row r="13" spans="1:39" x14ac:dyDescent="0.25">
      <c r="A13" s="1" t="s">
        <v>73</v>
      </c>
      <c r="B13" s="21"/>
      <c r="C13" s="21"/>
      <c r="D13" s="21"/>
      <c r="E13" s="21"/>
      <c r="F13" s="21"/>
      <c r="G13" s="21"/>
      <c r="H13" s="17"/>
      <c r="I13" s="17"/>
      <c r="J13" s="17"/>
      <c r="K13" s="17"/>
      <c r="L13" s="17"/>
      <c r="M13" s="17"/>
      <c r="N13" s="17"/>
      <c r="O13" s="17">
        <v>1190</v>
      </c>
      <c r="P13" s="17">
        <v>1342</v>
      </c>
      <c r="Q13" s="17">
        <v>1443</v>
      </c>
      <c r="R13" s="18">
        <v>1337</v>
      </c>
      <c r="S13" s="17">
        <v>1350</v>
      </c>
      <c r="T13" s="17">
        <v>1405</v>
      </c>
      <c r="U13" s="17">
        <v>1515</v>
      </c>
      <c r="V13" s="17">
        <v>1290</v>
      </c>
      <c r="W13" s="17">
        <v>1291</v>
      </c>
      <c r="X13" s="17">
        <f>4826-SUM(Y13:AA13)</f>
        <v>1208</v>
      </c>
      <c r="Y13" s="17">
        <v>1293</v>
      </c>
      <c r="Z13" s="17">
        <v>1181</v>
      </c>
      <c r="AA13" s="17">
        <v>1144</v>
      </c>
      <c r="AB13" s="17">
        <f>5253-SUM(AC13:AE13)</f>
        <v>1220</v>
      </c>
      <c r="AC13" s="17">
        <v>1397</v>
      </c>
      <c r="AD13" s="17">
        <v>1312</v>
      </c>
      <c r="AE13" s="17">
        <v>1324</v>
      </c>
      <c r="AF13" s="17">
        <f>5608-SUM(AG13:AI13)</f>
        <v>1375</v>
      </c>
      <c r="AG13" s="17">
        <v>1500</v>
      </c>
      <c r="AH13" s="17">
        <v>1422</v>
      </c>
      <c r="AI13" s="17">
        <v>1311</v>
      </c>
      <c r="AJ13" s="17">
        <f>5393-SUM(AK13:AM13)</f>
        <v>1327</v>
      </c>
      <c r="AK13" s="17">
        <v>1449</v>
      </c>
      <c r="AL13" s="17">
        <v>1340</v>
      </c>
      <c r="AM13" s="17">
        <v>1277</v>
      </c>
    </row>
    <row r="14" spans="1:39" x14ac:dyDescent="0.25">
      <c r="A14" s="1" t="s">
        <v>3</v>
      </c>
      <c r="B14" s="21"/>
      <c r="C14" s="21"/>
      <c r="D14" s="21"/>
      <c r="E14" s="21"/>
      <c r="F14" s="21"/>
      <c r="G14" s="21"/>
      <c r="H14" s="17"/>
      <c r="I14" s="17"/>
      <c r="J14" s="17"/>
      <c r="K14" s="17"/>
      <c r="L14" s="17"/>
      <c r="M14" s="17"/>
      <c r="N14" s="17"/>
      <c r="O14" s="17">
        <v>1123</v>
      </c>
      <c r="P14" s="17">
        <v>1211</v>
      </c>
      <c r="Q14" s="17">
        <v>1235</v>
      </c>
      <c r="R14" s="18">
        <v>1223</v>
      </c>
      <c r="S14" s="17">
        <v>1145</v>
      </c>
      <c r="T14" s="17">
        <v>1210</v>
      </c>
      <c r="U14" s="17">
        <v>1279</v>
      </c>
      <c r="V14" s="17">
        <v>1169</v>
      </c>
      <c r="W14" s="17">
        <v>1073</v>
      </c>
      <c r="X14" s="17">
        <f>4482-SUM(Y14:AA14)</f>
        <v>1094</v>
      </c>
      <c r="Y14" s="17">
        <v>1209</v>
      </c>
      <c r="Z14" s="17">
        <v>1130</v>
      </c>
      <c r="AA14" s="17">
        <v>1049</v>
      </c>
      <c r="AB14" s="17">
        <f>4422-SUM(AC14:AE14)</f>
        <v>1101</v>
      </c>
      <c r="AC14" s="17">
        <v>1162</v>
      </c>
      <c r="AD14" s="17">
        <v>1111</v>
      </c>
      <c r="AE14" s="17">
        <v>1048</v>
      </c>
      <c r="AF14" s="17">
        <f>4523-SUM(AG14:AI14)</f>
        <v>1128</v>
      </c>
      <c r="AG14" s="17">
        <v>1177</v>
      </c>
      <c r="AH14" s="17">
        <v>1139</v>
      </c>
      <c r="AI14" s="17">
        <v>1079</v>
      </c>
      <c r="AJ14" s="17">
        <f>4435-SUM(AK14:AM14)</f>
        <v>1103</v>
      </c>
      <c r="AK14" s="17">
        <v>1153</v>
      </c>
      <c r="AL14" s="17">
        <v>1098</v>
      </c>
      <c r="AM14" s="17">
        <v>1081</v>
      </c>
    </row>
    <row r="15" spans="1:39" x14ac:dyDescent="0.25">
      <c r="A15" s="1" t="s">
        <v>4</v>
      </c>
      <c r="B15" s="21"/>
      <c r="C15" s="21"/>
      <c r="D15" s="21"/>
      <c r="E15" s="21"/>
      <c r="F15" s="21"/>
      <c r="G15" s="21"/>
      <c r="H15" s="17"/>
      <c r="I15" s="17"/>
      <c r="J15" s="17"/>
      <c r="K15" s="17"/>
      <c r="L15" s="17"/>
      <c r="M15" s="17"/>
      <c r="N15" s="17"/>
      <c r="O15" s="17">
        <v>21</v>
      </c>
      <c r="P15" s="17">
        <v>3</v>
      </c>
      <c r="Q15" s="17">
        <v>35</v>
      </c>
      <c r="R15" s="18">
        <v>12</v>
      </c>
      <c r="S15" s="17">
        <v>0</v>
      </c>
      <c r="T15" s="17">
        <v>-3</v>
      </c>
      <c r="U15" s="17">
        <v>3</v>
      </c>
      <c r="V15" s="17">
        <v>2</v>
      </c>
      <c r="W15" s="17">
        <v>1</v>
      </c>
      <c r="X15" s="17">
        <f>9-SUM(Y15:AA15)</f>
        <v>2</v>
      </c>
      <c r="Y15" s="17">
        <v>2</v>
      </c>
      <c r="Z15" s="17">
        <v>4</v>
      </c>
      <c r="AA15" s="17">
        <v>1</v>
      </c>
      <c r="AB15" s="17">
        <f>1-SUM(AC15:AE15)</f>
        <v>2</v>
      </c>
      <c r="AC15" s="17">
        <v>1</v>
      </c>
      <c r="AD15" s="17">
        <v>-4</v>
      </c>
      <c r="AE15" s="17">
        <v>2</v>
      </c>
      <c r="AF15" s="17">
        <f>5-SUM(AG15:AI15)</f>
        <v>0</v>
      </c>
      <c r="AG15" s="17">
        <v>3</v>
      </c>
      <c r="AH15" s="17">
        <v>-1</v>
      </c>
      <c r="AI15" s="17">
        <v>3</v>
      </c>
      <c r="AJ15" s="17">
        <f>8-SUM(AK15:AM15)</f>
        <v>2</v>
      </c>
      <c r="AK15" s="17">
        <v>3</v>
      </c>
      <c r="AL15" s="17">
        <v>1</v>
      </c>
      <c r="AM15" s="17">
        <v>2</v>
      </c>
    </row>
    <row r="16" spans="1:39" x14ac:dyDescent="0.25">
      <c r="A16" s="1" t="s">
        <v>63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7">
        <v>-64</v>
      </c>
      <c r="P16" s="17">
        <v>-652</v>
      </c>
      <c r="Q16" s="17">
        <v>-689</v>
      </c>
      <c r="R16" s="18">
        <v>-665</v>
      </c>
      <c r="S16" s="17">
        <v>-666</v>
      </c>
      <c r="T16" s="17">
        <v>-632</v>
      </c>
      <c r="U16" s="17">
        <v>-684</v>
      </c>
      <c r="V16" s="17">
        <v>-615</v>
      </c>
      <c r="W16" s="17">
        <v>-601</v>
      </c>
      <c r="X16" s="21">
        <f>-708-SUM(Y16:AA16)</f>
        <v>-179</v>
      </c>
      <c r="Y16" s="17">
        <v>-186</v>
      </c>
      <c r="Z16" s="17">
        <v>-187</v>
      </c>
      <c r="AA16" s="17">
        <v>-156</v>
      </c>
      <c r="AB16" s="21">
        <f>-632-SUM(AC16:AE16)</f>
        <v>-150</v>
      </c>
      <c r="AC16" s="17">
        <v>-168</v>
      </c>
      <c r="AD16" s="17">
        <v>-161</v>
      </c>
      <c r="AE16" s="17">
        <v>-153</v>
      </c>
      <c r="AF16" s="21">
        <f>-604-SUM(AG16:AI16)</f>
        <v>-165</v>
      </c>
      <c r="AG16" s="17">
        <v>-153</v>
      </c>
      <c r="AH16" s="17">
        <v>-151</v>
      </c>
      <c r="AI16" s="17">
        <v>-135</v>
      </c>
      <c r="AJ16" s="21">
        <f>-540-SUM(AK16:AM16)</f>
        <v>-133</v>
      </c>
      <c r="AK16" s="17">
        <v>-138</v>
      </c>
      <c r="AL16" s="17">
        <v>-140</v>
      </c>
      <c r="AM16" s="17">
        <v>-129</v>
      </c>
    </row>
    <row r="17" spans="1:39" x14ac:dyDescent="0.25">
      <c r="A17" s="1" t="s">
        <v>5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7">
        <v>7863</v>
      </c>
      <c r="P17" s="17">
        <v>7945</v>
      </c>
      <c r="Q17" s="17">
        <v>8152</v>
      </c>
      <c r="R17" s="18">
        <v>8390</v>
      </c>
      <c r="S17" s="17">
        <v>8278</v>
      </c>
      <c r="T17" s="17">
        <v>7990</v>
      </c>
      <c r="U17" s="17">
        <v>8172</v>
      </c>
      <c r="V17" s="17">
        <v>7810</v>
      </c>
      <c r="W17" s="17">
        <v>7685</v>
      </c>
      <c r="X17" s="21">
        <f>30109-SUM(Y17:AA17)</f>
        <v>7329</v>
      </c>
      <c r="Y17" s="17">
        <v>7709</v>
      </c>
      <c r="Z17" s="17">
        <v>7662</v>
      </c>
      <c r="AA17" s="17">
        <v>7409</v>
      </c>
      <c r="AB17" s="21">
        <f>30274-SUM(AC17:AE17)</f>
        <v>7298</v>
      </c>
      <c r="AC17" s="17">
        <v>7712</v>
      </c>
      <c r="AD17" s="17">
        <v>7686</v>
      </c>
      <c r="AE17" s="17">
        <v>7578</v>
      </c>
      <c r="AF17" s="21">
        <f>31821-SUM(AG17:AI17)</f>
        <v>7719</v>
      </c>
      <c r="AG17" s="17">
        <v>8137</v>
      </c>
      <c r="AH17" s="17">
        <v>8134</v>
      </c>
      <c r="AI17" s="17">
        <v>7831</v>
      </c>
      <c r="AJ17" s="21">
        <f>30871-SUM(AK17:AM17)</f>
        <v>7569</v>
      </c>
      <c r="AK17" s="17">
        <v>7916</v>
      </c>
      <c r="AL17" s="17">
        <v>7752</v>
      </c>
      <c r="AM17" s="17">
        <v>7634</v>
      </c>
    </row>
    <row r="18" spans="1:39" x14ac:dyDescent="0.25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</row>
    <row r="19" spans="1:39" x14ac:dyDescent="0.25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</row>
    <row r="20" spans="1:39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</row>
    <row r="21" spans="1:39" x14ac:dyDescent="0.25">
      <c r="A21" s="11" t="s">
        <v>74</v>
      </c>
      <c r="B21" s="12" t="s">
        <v>6</v>
      </c>
      <c r="C21" s="12" t="s">
        <v>7</v>
      </c>
      <c r="D21" s="12" t="s">
        <v>8</v>
      </c>
      <c r="E21" s="12" t="s">
        <v>9</v>
      </c>
      <c r="F21" s="12" t="s">
        <v>14</v>
      </c>
      <c r="G21" s="12" t="s">
        <v>15</v>
      </c>
      <c r="H21" s="12" t="s">
        <v>16</v>
      </c>
      <c r="I21" s="12" t="s">
        <v>17</v>
      </c>
      <c r="J21" s="12" t="s">
        <v>18</v>
      </c>
      <c r="K21" s="12" t="s">
        <v>19</v>
      </c>
      <c r="L21" s="12" t="s">
        <v>20</v>
      </c>
      <c r="M21" s="12" t="s">
        <v>21</v>
      </c>
      <c r="N21" s="12" t="s">
        <v>22</v>
      </c>
      <c r="O21" s="12" t="s">
        <v>23</v>
      </c>
      <c r="P21" s="12" t="s">
        <v>24</v>
      </c>
      <c r="Q21" s="12" t="s">
        <v>25</v>
      </c>
      <c r="R21" s="12" t="s">
        <v>26</v>
      </c>
      <c r="S21" s="12" t="s">
        <v>27</v>
      </c>
      <c r="T21" s="12" t="s">
        <v>28</v>
      </c>
      <c r="U21" s="12" t="s">
        <v>29</v>
      </c>
      <c r="V21" s="12" t="s">
        <v>30</v>
      </c>
      <c r="W21" s="12" t="s">
        <v>31</v>
      </c>
      <c r="X21" s="12" t="s">
        <v>32</v>
      </c>
      <c r="Y21" s="12" t="s">
        <v>33</v>
      </c>
      <c r="Z21" s="12" t="s">
        <v>34</v>
      </c>
      <c r="AA21" s="12" t="s">
        <v>35</v>
      </c>
      <c r="AB21" s="12" t="s">
        <v>36</v>
      </c>
      <c r="AC21" s="12" t="s">
        <v>37</v>
      </c>
      <c r="AD21" s="12" t="s">
        <v>38</v>
      </c>
      <c r="AE21" s="12" t="s">
        <v>39</v>
      </c>
      <c r="AF21" s="12" t="s">
        <v>40</v>
      </c>
      <c r="AG21" s="12" t="s">
        <v>41</v>
      </c>
      <c r="AH21" s="12" t="s">
        <v>42</v>
      </c>
      <c r="AI21" s="12" t="s">
        <v>43</v>
      </c>
      <c r="AJ21" s="12" t="s">
        <v>44</v>
      </c>
      <c r="AK21" s="12" t="s">
        <v>45</v>
      </c>
      <c r="AL21" s="12" t="s">
        <v>46</v>
      </c>
      <c r="AM21" s="12" t="s">
        <v>47</v>
      </c>
    </row>
    <row r="22" spans="1:39" x14ac:dyDescent="0.25">
      <c r="A22" s="3" t="s">
        <v>1</v>
      </c>
      <c r="B22" s="15">
        <v>-707</v>
      </c>
      <c r="C22" s="16">
        <v>636</v>
      </c>
      <c r="D22" s="17">
        <f>2692-SUM(E22:G22)</f>
        <v>543</v>
      </c>
      <c r="E22" s="17">
        <v>620</v>
      </c>
      <c r="F22" s="19">
        <v>718</v>
      </c>
      <c r="G22" s="19">
        <v>811</v>
      </c>
      <c r="H22" s="17">
        <f>2784-SUM(I22:K22)</f>
        <v>693</v>
      </c>
      <c r="I22" s="17">
        <v>774</v>
      </c>
      <c r="J22" s="20">
        <v>623</v>
      </c>
      <c r="K22" s="19">
        <v>694</v>
      </c>
      <c r="L22" s="17">
        <f>2648-SUM(M22:O22)</f>
        <v>593</v>
      </c>
      <c r="M22" s="17">
        <v>765</v>
      </c>
      <c r="N22" s="20">
        <v>653</v>
      </c>
      <c r="O22" s="17">
        <v>637</v>
      </c>
      <c r="P22" s="17"/>
      <c r="Q22" s="17"/>
      <c r="R22" s="18"/>
      <c r="S22" s="19"/>
      <c r="T22" s="17"/>
      <c r="U22" s="17"/>
      <c r="V22" s="18"/>
      <c r="W22" s="19"/>
      <c r="X22" s="17"/>
      <c r="Y22" s="17"/>
      <c r="Z22" s="18"/>
      <c r="AA22" s="19"/>
      <c r="AB22" s="17"/>
      <c r="AC22" s="17"/>
      <c r="AD22" s="18"/>
      <c r="AE22" s="19"/>
      <c r="AF22" s="17"/>
      <c r="AG22" s="17"/>
      <c r="AH22" s="18"/>
      <c r="AI22" s="19"/>
      <c r="AJ22" s="17"/>
      <c r="AK22" s="17"/>
      <c r="AL22" s="15"/>
      <c r="AM22" s="16"/>
    </row>
    <row r="23" spans="1:39" x14ac:dyDescent="0.25">
      <c r="A23" s="3" t="s">
        <v>48</v>
      </c>
      <c r="B23" s="15">
        <v>476</v>
      </c>
      <c r="C23" s="16">
        <v>496</v>
      </c>
      <c r="D23" s="17">
        <f>2008-SUM(E23:G23)</f>
        <v>406</v>
      </c>
      <c r="E23" s="19">
        <v>465</v>
      </c>
      <c r="F23" s="19">
        <v>546</v>
      </c>
      <c r="G23" s="19">
        <v>591</v>
      </c>
      <c r="H23" s="17">
        <f>1814-SUM(I23:K23)</f>
        <v>476</v>
      </c>
      <c r="I23" s="19">
        <v>514</v>
      </c>
      <c r="J23" s="20">
        <v>360</v>
      </c>
      <c r="K23" s="19">
        <v>464</v>
      </c>
      <c r="L23" s="17">
        <f>2221-SUM(M23:O23)</f>
        <v>476</v>
      </c>
      <c r="M23" s="17">
        <v>631</v>
      </c>
      <c r="N23" s="20">
        <v>592</v>
      </c>
      <c r="O23" s="17">
        <v>522</v>
      </c>
      <c r="P23" s="17"/>
      <c r="Q23" s="17"/>
      <c r="R23" s="18"/>
      <c r="S23" s="19"/>
      <c r="T23" s="17"/>
      <c r="U23" s="17"/>
      <c r="V23" s="18"/>
      <c r="W23" s="19"/>
      <c r="X23" s="17"/>
      <c r="Y23" s="17"/>
      <c r="Z23" s="18"/>
      <c r="AA23" s="19"/>
      <c r="AB23" s="17"/>
      <c r="AC23" s="17"/>
      <c r="AD23" s="18"/>
      <c r="AE23" s="19"/>
      <c r="AF23" s="17"/>
      <c r="AG23" s="17"/>
      <c r="AH23" s="18"/>
      <c r="AI23" s="19"/>
      <c r="AJ23" s="17"/>
      <c r="AK23" s="17"/>
      <c r="AL23" s="15"/>
      <c r="AM23" s="16"/>
    </row>
    <row r="24" spans="1:39" x14ac:dyDescent="0.25">
      <c r="A24" s="1" t="s">
        <v>2</v>
      </c>
      <c r="B24" s="15">
        <v>494</v>
      </c>
      <c r="C24" s="16">
        <v>448</v>
      </c>
      <c r="D24" s="17">
        <f>2150-SUM(E24:G24)</f>
        <v>536</v>
      </c>
      <c r="E24" s="19">
        <v>529</v>
      </c>
      <c r="F24" s="19">
        <v>576</v>
      </c>
      <c r="G24" s="19">
        <v>509</v>
      </c>
      <c r="H24" s="17">
        <f>1790-SUM(I24:K24)</f>
        <v>544</v>
      </c>
      <c r="I24" s="19">
        <v>493</v>
      </c>
      <c r="J24" s="20">
        <v>301</v>
      </c>
      <c r="K24" s="19">
        <v>452</v>
      </c>
      <c r="L24" s="17">
        <f>1863-SUM(M24:O24)</f>
        <v>457</v>
      </c>
      <c r="M24" s="17">
        <v>459</v>
      </c>
      <c r="N24" s="20">
        <v>483</v>
      </c>
      <c r="O24" s="17">
        <v>464</v>
      </c>
      <c r="P24" s="17"/>
      <c r="Q24" s="17"/>
      <c r="R24" s="18"/>
      <c r="S24" s="19"/>
      <c r="T24" s="17"/>
      <c r="U24" s="17"/>
      <c r="V24" s="18"/>
      <c r="W24" s="19"/>
      <c r="X24" s="17"/>
      <c r="Y24" s="17"/>
      <c r="Z24" s="18"/>
      <c r="AA24" s="19"/>
      <c r="AB24" s="17"/>
      <c r="AC24" s="17"/>
      <c r="AD24" s="18"/>
      <c r="AE24" s="19"/>
      <c r="AF24" s="17"/>
      <c r="AG24" s="17"/>
      <c r="AH24" s="18"/>
      <c r="AI24" s="19"/>
      <c r="AJ24" s="17"/>
      <c r="AK24" s="17"/>
      <c r="AL24" s="15"/>
      <c r="AM24" s="16"/>
    </row>
    <row r="25" spans="1:39" x14ac:dyDescent="0.25">
      <c r="A25" s="1" t="s">
        <v>3</v>
      </c>
      <c r="B25" s="15">
        <v>247</v>
      </c>
      <c r="C25" s="16">
        <v>224</v>
      </c>
      <c r="D25" s="17">
        <f>1248-SUM(E25:G25)</f>
        <v>316</v>
      </c>
      <c r="E25" s="19">
        <v>332</v>
      </c>
      <c r="F25" s="19">
        <v>311</v>
      </c>
      <c r="G25" s="19">
        <v>289</v>
      </c>
      <c r="H25" s="17">
        <f>1203-SUM(I25:K25)</f>
        <v>317</v>
      </c>
      <c r="I25" s="19">
        <v>343</v>
      </c>
      <c r="J25" s="20">
        <v>278</v>
      </c>
      <c r="K25" s="19">
        <v>265</v>
      </c>
      <c r="L25" s="17">
        <f>1105-SUM(M25:O25)</f>
        <v>294</v>
      </c>
      <c r="M25" s="17">
        <v>308</v>
      </c>
      <c r="N25" s="20">
        <v>268</v>
      </c>
      <c r="O25" s="17">
        <v>235</v>
      </c>
      <c r="P25" s="17"/>
      <c r="Q25" s="17"/>
      <c r="R25" s="18"/>
      <c r="S25" s="19"/>
      <c r="T25" s="17"/>
      <c r="U25" s="17"/>
      <c r="V25" s="18"/>
      <c r="W25" s="19"/>
      <c r="X25" s="17"/>
      <c r="Y25" s="17"/>
      <c r="Z25" s="18"/>
      <c r="AA25" s="19"/>
      <c r="AB25" s="17"/>
      <c r="AC25" s="17"/>
      <c r="AD25" s="18"/>
      <c r="AE25" s="19"/>
      <c r="AF25" s="17"/>
      <c r="AG25" s="17"/>
      <c r="AH25" s="18"/>
      <c r="AI25" s="19"/>
      <c r="AJ25" s="17"/>
      <c r="AK25" s="17"/>
      <c r="AL25" s="15"/>
      <c r="AM25" s="16"/>
    </row>
    <row r="26" spans="1:39" x14ac:dyDescent="0.25">
      <c r="A26" s="1" t="s">
        <v>4</v>
      </c>
      <c r="B26" s="15">
        <v>-400</v>
      </c>
      <c r="C26" s="16">
        <v>-163</v>
      </c>
      <c r="D26" s="17">
        <f>-176-SUM(E26:G26)</f>
        <v>-60</v>
      </c>
      <c r="E26" s="19">
        <v>-27</v>
      </c>
      <c r="F26" s="19">
        <v>-42</v>
      </c>
      <c r="G26" s="19">
        <v>-47</v>
      </c>
      <c r="H26" s="17">
        <f>91-SUM(I26:K26)</f>
        <v>-34</v>
      </c>
      <c r="I26" s="19">
        <v>-73</v>
      </c>
      <c r="J26" s="18">
        <v>297</v>
      </c>
      <c r="K26" s="19">
        <v>-99</v>
      </c>
      <c r="L26" s="17">
        <f>-1243-SUM(M26:O26)</f>
        <v>-385</v>
      </c>
      <c r="M26" s="19">
        <v>-40</v>
      </c>
      <c r="N26" s="18">
        <v>-193</v>
      </c>
      <c r="O26" s="17">
        <v>-625</v>
      </c>
      <c r="P26" s="17"/>
      <c r="Q26" s="19"/>
      <c r="R26" s="18"/>
      <c r="S26" s="19"/>
      <c r="T26" s="17"/>
      <c r="U26" s="17"/>
      <c r="V26" s="18"/>
      <c r="W26" s="19"/>
      <c r="X26" s="17"/>
      <c r="Y26" s="17"/>
      <c r="Z26" s="18"/>
      <c r="AA26" s="19"/>
      <c r="AB26" s="17"/>
      <c r="AC26" s="17"/>
      <c r="AD26" s="18"/>
      <c r="AE26" s="19"/>
      <c r="AF26" s="17"/>
      <c r="AG26" s="17"/>
      <c r="AH26" s="18"/>
      <c r="AI26" s="19"/>
      <c r="AJ26" s="17"/>
      <c r="AK26" s="17"/>
      <c r="AL26" s="15"/>
      <c r="AM26" s="16"/>
    </row>
    <row r="27" spans="1:39" x14ac:dyDescent="0.25">
      <c r="A27" s="5" t="s">
        <v>63</v>
      </c>
      <c r="B27" s="18">
        <v>0</v>
      </c>
      <c r="C27" s="19">
        <v>0</v>
      </c>
      <c r="D27" s="17">
        <f>-553-SUM(E27:G27)</f>
        <v>-125</v>
      </c>
      <c r="E27" s="19">
        <v>-131</v>
      </c>
      <c r="F27" s="19">
        <v>-138</v>
      </c>
      <c r="G27" s="19">
        <v>-159</v>
      </c>
      <c r="H27" s="17">
        <f>-521-SUM(I27:K27)</f>
        <v>-147</v>
      </c>
      <c r="I27" s="19">
        <v>-142</v>
      </c>
      <c r="J27" s="18">
        <v>-119</v>
      </c>
      <c r="K27" s="19">
        <v>-113</v>
      </c>
      <c r="L27" s="17">
        <f>-420-SUM(M27:O27)</f>
        <v>-110</v>
      </c>
      <c r="M27" s="19">
        <v>-112</v>
      </c>
      <c r="N27" s="18">
        <v>-101</v>
      </c>
      <c r="O27" s="17">
        <v>-97</v>
      </c>
      <c r="P27" s="17"/>
      <c r="Q27" s="19"/>
      <c r="R27" s="18"/>
      <c r="S27" s="19"/>
      <c r="T27" s="17"/>
      <c r="U27" s="17"/>
      <c r="V27" s="18"/>
      <c r="W27" s="19"/>
      <c r="X27" s="17"/>
      <c r="Y27" s="17"/>
      <c r="Z27" s="18"/>
      <c r="AA27" s="19"/>
      <c r="AB27" s="17"/>
      <c r="AC27" s="17"/>
      <c r="AD27" s="18"/>
      <c r="AE27" s="19"/>
      <c r="AF27" s="17"/>
      <c r="AG27" s="17"/>
      <c r="AH27" s="18"/>
      <c r="AI27" s="19"/>
      <c r="AJ27" s="17"/>
      <c r="AK27" s="17"/>
      <c r="AL27" s="15"/>
      <c r="AM27" s="16"/>
    </row>
    <row r="28" spans="1:39" x14ac:dyDescent="0.25">
      <c r="A28" s="1" t="s">
        <v>5</v>
      </c>
      <c r="B28" s="15">
        <v>110</v>
      </c>
      <c r="C28" s="16">
        <v>1641</v>
      </c>
      <c r="D28" s="17">
        <f>7369-SUM(E28:G28)</f>
        <v>1616</v>
      </c>
      <c r="E28" s="19">
        <v>1788</v>
      </c>
      <c r="F28" s="19">
        <v>1971</v>
      </c>
      <c r="G28" s="19">
        <v>1994</v>
      </c>
      <c r="H28" s="17">
        <f>7161-SUM(I28:K28)</f>
        <v>1701</v>
      </c>
      <c r="I28" s="19">
        <v>1826</v>
      </c>
      <c r="J28" s="18">
        <v>1971</v>
      </c>
      <c r="K28" s="19">
        <v>1663</v>
      </c>
      <c r="L28" s="17">
        <f>6174-SUM(M28:O28)</f>
        <v>1325</v>
      </c>
      <c r="M28" s="17">
        <v>2011</v>
      </c>
      <c r="N28" s="18">
        <v>1702</v>
      </c>
      <c r="O28" s="19">
        <v>1136</v>
      </c>
      <c r="P28" s="17"/>
      <c r="Q28" s="17"/>
      <c r="R28" s="18"/>
      <c r="S28" s="19"/>
      <c r="T28" s="17"/>
      <c r="U28" s="17"/>
      <c r="V28" s="18"/>
      <c r="W28" s="19"/>
      <c r="X28" s="17"/>
      <c r="Y28" s="17"/>
      <c r="Z28" s="18"/>
      <c r="AA28" s="19"/>
      <c r="AB28" s="17"/>
      <c r="AC28" s="17"/>
      <c r="AD28" s="18"/>
      <c r="AE28" s="19"/>
      <c r="AF28" s="17"/>
      <c r="AG28" s="17"/>
      <c r="AH28" s="18"/>
      <c r="AI28" s="19"/>
      <c r="AJ28" s="17"/>
      <c r="AK28" s="17"/>
      <c r="AL28" s="15"/>
      <c r="AM28" s="16"/>
    </row>
    <row r="29" spans="1:39" x14ac:dyDescent="0.25">
      <c r="B29" s="21"/>
      <c r="C29" s="21"/>
      <c r="D29" s="21"/>
      <c r="E29" s="21"/>
      <c r="F29" s="21"/>
      <c r="G29" s="21"/>
      <c r="H29" s="17"/>
      <c r="I29" s="17"/>
      <c r="J29" s="18"/>
      <c r="K29" s="19"/>
      <c r="L29" s="17"/>
      <c r="M29" s="17"/>
      <c r="N29" s="18"/>
      <c r="O29" s="19"/>
      <c r="P29" s="17"/>
      <c r="Q29" s="17"/>
      <c r="R29" s="18"/>
      <c r="S29" s="19"/>
      <c r="T29" s="17"/>
      <c r="U29" s="17"/>
      <c r="V29" s="18"/>
      <c r="W29" s="19"/>
      <c r="X29" s="17"/>
      <c r="Y29" s="17"/>
      <c r="Z29" s="18"/>
      <c r="AA29" s="19"/>
      <c r="AB29" s="17"/>
      <c r="AC29" s="17"/>
      <c r="AD29" s="18"/>
      <c r="AE29" s="19"/>
      <c r="AF29" s="17"/>
      <c r="AG29" s="17"/>
      <c r="AH29" s="18"/>
      <c r="AI29" s="19"/>
      <c r="AJ29" s="17"/>
      <c r="AK29" s="17"/>
      <c r="AL29" s="18"/>
      <c r="AM29" s="19"/>
    </row>
    <row r="30" spans="1:39" x14ac:dyDescent="0.25">
      <c r="A30" s="1" t="s">
        <v>71</v>
      </c>
      <c r="B30" s="21"/>
      <c r="C30" s="21"/>
      <c r="D30" s="21"/>
      <c r="E30" s="21"/>
      <c r="F30" s="21"/>
      <c r="G30" s="21"/>
      <c r="H30" s="17"/>
      <c r="I30" s="17"/>
      <c r="J30" s="18"/>
      <c r="K30" s="19"/>
      <c r="L30" s="17"/>
      <c r="M30" s="17"/>
      <c r="N30" s="18"/>
      <c r="O30" s="19">
        <v>585</v>
      </c>
      <c r="P30" s="17">
        <f>627</f>
        <v>627</v>
      </c>
      <c r="Q30" s="17">
        <v>667</v>
      </c>
      <c r="R30" s="18">
        <v>724</v>
      </c>
      <c r="S30" s="19">
        <v>714</v>
      </c>
      <c r="T30" s="17">
        <f>580</f>
        <v>580</v>
      </c>
      <c r="U30" s="18">
        <v>672</v>
      </c>
      <c r="V30" s="18">
        <v>568</v>
      </c>
      <c r="W30" s="19">
        <v>670</v>
      </c>
      <c r="X30" s="17">
        <f>2376-SUM(Y30:AA30)</f>
        <v>553</v>
      </c>
      <c r="Y30" s="18">
        <v>591</v>
      </c>
      <c r="Z30" s="18">
        <v>615</v>
      </c>
      <c r="AA30" s="19">
        <v>617</v>
      </c>
      <c r="AB30" s="17">
        <f>2256-SUM(AC30:AE30)</f>
        <v>474</v>
      </c>
      <c r="AC30" s="17">
        <v>578</v>
      </c>
      <c r="AD30" s="18">
        <v>608</v>
      </c>
      <c r="AE30" s="19">
        <v>596</v>
      </c>
      <c r="AF30" s="17">
        <f>2389-SUM(AG30:AI30)</f>
        <v>538</v>
      </c>
      <c r="AG30" s="17">
        <v>616</v>
      </c>
      <c r="AH30" s="18">
        <v>617</v>
      </c>
      <c r="AI30" s="19">
        <v>618</v>
      </c>
      <c r="AJ30" s="17">
        <f>2307-SUM(AK30:AM30)</f>
        <v>554</v>
      </c>
      <c r="AK30" s="17">
        <v>571</v>
      </c>
      <c r="AL30" s="18">
        <v>603</v>
      </c>
      <c r="AM30" s="19">
        <v>579</v>
      </c>
    </row>
    <row r="31" spans="1:39" x14ac:dyDescent="0.25">
      <c r="A31" s="1" t="s">
        <v>72</v>
      </c>
      <c r="B31" s="21"/>
      <c r="C31" s="21"/>
      <c r="D31" s="21"/>
      <c r="E31" s="21"/>
      <c r="F31" s="21"/>
      <c r="G31" s="21"/>
      <c r="H31" s="17"/>
      <c r="I31" s="17"/>
      <c r="J31" s="17"/>
      <c r="K31" s="17"/>
      <c r="L31" s="17"/>
      <c r="M31" s="17"/>
      <c r="N31" s="17"/>
      <c r="O31" s="17">
        <v>396</v>
      </c>
      <c r="P31" s="17">
        <f>345</f>
        <v>345</v>
      </c>
      <c r="Q31" s="17">
        <v>412</v>
      </c>
      <c r="R31" s="18">
        <v>480</v>
      </c>
      <c r="S31" s="17">
        <v>481</v>
      </c>
      <c r="T31" s="17">
        <f>405</f>
        <v>405</v>
      </c>
      <c r="U31" s="17">
        <v>411</v>
      </c>
      <c r="V31" s="17">
        <v>851</v>
      </c>
      <c r="W31" s="17">
        <v>399</v>
      </c>
      <c r="X31" s="17">
        <f>1390-SUM(Y31:AA31)</f>
        <v>270</v>
      </c>
      <c r="Y31" s="17">
        <v>364</v>
      </c>
      <c r="Z31" s="17">
        <v>411</v>
      </c>
      <c r="AA31" s="17">
        <v>345</v>
      </c>
      <c r="AB31" s="17">
        <f>1305-SUM(AC31:AE31)</f>
        <v>282</v>
      </c>
      <c r="AC31" s="17">
        <v>324</v>
      </c>
      <c r="AD31" s="17">
        <v>364</v>
      </c>
      <c r="AE31" s="17">
        <v>335</v>
      </c>
      <c r="AF31" s="17">
        <f>1296-SUM(AG31:AI31)</f>
        <v>285</v>
      </c>
      <c r="AG31" s="17">
        <v>340</v>
      </c>
      <c r="AH31" s="17">
        <v>353</v>
      </c>
      <c r="AI31" s="17">
        <v>318</v>
      </c>
      <c r="AJ31" s="17">
        <f>1227-SUM(AK31:AM31)</f>
        <v>254</v>
      </c>
      <c r="AK31" s="17">
        <v>313</v>
      </c>
      <c r="AL31" s="17">
        <v>328</v>
      </c>
      <c r="AM31" s="17">
        <v>332</v>
      </c>
    </row>
    <row r="32" spans="1:39" x14ac:dyDescent="0.25">
      <c r="A32" s="1" t="s">
        <v>2</v>
      </c>
      <c r="B32" s="21"/>
      <c r="C32" s="21"/>
      <c r="D32" s="21"/>
      <c r="E32" s="21"/>
      <c r="F32" s="21"/>
      <c r="G32" s="21"/>
      <c r="H32" s="17"/>
      <c r="I32" s="17"/>
      <c r="J32" s="17"/>
      <c r="K32" s="17"/>
      <c r="L32" s="17"/>
      <c r="M32" s="17"/>
      <c r="N32" s="17"/>
      <c r="O32" s="17">
        <v>432</v>
      </c>
      <c r="P32" s="17">
        <f>458</f>
        <v>458</v>
      </c>
      <c r="Q32" s="17">
        <v>446</v>
      </c>
      <c r="R32" s="18">
        <v>435</v>
      </c>
      <c r="S32" s="17">
        <v>458</v>
      </c>
      <c r="T32" s="17">
        <f>460</f>
        <v>460</v>
      </c>
      <c r="U32" s="17">
        <v>467</v>
      </c>
      <c r="V32" s="17">
        <v>408</v>
      </c>
      <c r="W32" s="17">
        <v>429</v>
      </c>
      <c r="X32" s="17">
        <f>1754-SUM(Y32:AA32)</f>
        <v>410</v>
      </c>
      <c r="Y32" s="17">
        <v>429</v>
      </c>
      <c r="Z32" s="17">
        <v>460</v>
      </c>
      <c r="AA32" s="17">
        <v>455</v>
      </c>
      <c r="AB32" s="17">
        <f>1724-SUM(AC32:AE32)</f>
        <v>444</v>
      </c>
      <c r="AC32" s="17">
        <v>432</v>
      </c>
      <c r="AD32" s="17">
        <v>440</v>
      </c>
      <c r="AE32" s="17">
        <v>408</v>
      </c>
      <c r="AF32" s="17">
        <f>1724-SUM(AG32:AI32)</f>
        <v>431</v>
      </c>
      <c r="AG32" s="17">
        <v>432</v>
      </c>
      <c r="AH32" s="17">
        <v>434</v>
      </c>
      <c r="AI32" s="17">
        <v>427</v>
      </c>
      <c r="AJ32" s="17">
        <f>1672-SUM(AK32:AM32)</f>
        <v>425</v>
      </c>
      <c r="AK32" s="17">
        <v>426</v>
      </c>
      <c r="AL32" s="17">
        <v>417</v>
      </c>
      <c r="AM32" s="17">
        <v>404</v>
      </c>
    </row>
    <row r="33" spans="1:39" x14ac:dyDescent="0.25">
      <c r="A33" s="1" t="s">
        <v>73</v>
      </c>
      <c r="B33" s="21"/>
      <c r="C33" s="21"/>
      <c r="D33" s="21"/>
      <c r="E33" s="21"/>
      <c r="F33" s="21"/>
      <c r="G33" s="21"/>
      <c r="H33" s="17"/>
      <c r="I33" s="17"/>
      <c r="J33" s="17"/>
      <c r="K33" s="17"/>
      <c r="L33" s="17"/>
      <c r="M33" s="17"/>
      <c r="N33" s="17"/>
      <c r="O33" s="17">
        <v>284</v>
      </c>
      <c r="P33" s="17">
        <f>396</f>
        <v>396</v>
      </c>
      <c r="Q33" s="17">
        <v>457</v>
      </c>
      <c r="R33" s="18">
        <v>865</v>
      </c>
      <c r="S33" s="17">
        <v>336</v>
      </c>
      <c r="T33" s="17">
        <f>366</f>
        <v>366</v>
      </c>
      <c r="U33" s="17">
        <v>430</v>
      </c>
      <c r="V33" s="17">
        <v>325</v>
      </c>
      <c r="W33" s="17">
        <v>256</v>
      </c>
      <c r="X33" s="17">
        <f>1075-SUM(Y33:AA33)</f>
        <v>326</v>
      </c>
      <c r="Y33" s="17">
        <v>312</v>
      </c>
      <c r="Z33" s="17">
        <v>229</v>
      </c>
      <c r="AA33" s="17">
        <v>208</v>
      </c>
      <c r="AB33" s="17">
        <f>1109-SUM(AC33:AE33)</f>
        <v>202</v>
      </c>
      <c r="AC33" s="17">
        <v>344</v>
      </c>
      <c r="AD33" s="17">
        <v>278</v>
      </c>
      <c r="AE33" s="17">
        <v>285</v>
      </c>
      <c r="AF33" s="17">
        <f>1115-SUM(AG33:AI33)</f>
        <v>257</v>
      </c>
      <c r="AG33" s="17">
        <v>338</v>
      </c>
      <c r="AH33" s="17">
        <v>293</v>
      </c>
      <c r="AI33" s="17">
        <v>227</v>
      </c>
      <c r="AJ33" s="17">
        <f>954-SUM(AK33:AM33)</f>
        <v>221</v>
      </c>
      <c r="AK33" s="17">
        <v>300</v>
      </c>
      <c r="AL33" s="17">
        <v>237</v>
      </c>
      <c r="AM33" s="17">
        <v>196</v>
      </c>
    </row>
    <row r="34" spans="1:39" x14ac:dyDescent="0.25">
      <c r="A34" s="1" t="s">
        <v>3</v>
      </c>
      <c r="B34" s="21"/>
      <c r="C34" s="21"/>
      <c r="D34" s="21"/>
      <c r="E34" s="21"/>
      <c r="F34" s="21"/>
      <c r="G34" s="21"/>
      <c r="H34" s="17"/>
      <c r="I34" s="17"/>
      <c r="J34" s="17"/>
      <c r="K34" s="17"/>
      <c r="L34" s="17"/>
      <c r="M34" s="17"/>
      <c r="N34" s="17"/>
      <c r="O34" s="17">
        <v>219</v>
      </c>
      <c r="P34" s="17">
        <f>257</f>
        <v>257</v>
      </c>
      <c r="Q34" s="17">
        <v>291</v>
      </c>
      <c r="R34" s="18">
        <v>261</v>
      </c>
      <c r="S34" s="17">
        <v>220</v>
      </c>
      <c r="T34" s="17">
        <f>272</f>
        <v>272</v>
      </c>
      <c r="U34" s="17">
        <v>311</v>
      </c>
      <c r="V34" s="17">
        <v>198</v>
      </c>
      <c r="W34" s="17">
        <v>223</v>
      </c>
      <c r="X34" s="17">
        <f>1064-SUM(Y34:AA34)</f>
        <v>228</v>
      </c>
      <c r="Y34" s="17">
        <v>317</v>
      </c>
      <c r="Z34" s="17">
        <v>281</v>
      </c>
      <c r="AA34" s="17">
        <v>238</v>
      </c>
      <c r="AB34" s="17">
        <f>1046-SUM(AC34:AE34)</f>
        <v>254</v>
      </c>
      <c r="AC34" s="17">
        <v>293</v>
      </c>
      <c r="AD34" s="17">
        <v>259</v>
      </c>
      <c r="AE34" s="17">
        <v>240</v>
      </c>
      <c r="AF34" s="17">
        <f>995-SUM(AG34:AI34)</f>
        <v>254</v>
      </c>
      <c r="AG34" s="17">
        <v>272</v>
      </c>
      <c r="AH34" s="17">
        <v>241</v>
      </c>
      <c r="AI34" s="17">
        <v>228</v>
      </c>
      <c r="AJ34" s="17">
        <f>945-SUM(AK34:AM34)</f>
        <v>226</v>
      </c>
      <c r="AK34" s="17">
        <v>247</v>
      </c>
      <c r="AL34" s="17">
        <v>235</v>
      </c>
      <c r="AM34" s="17">
        <v>237</v>
      </c>
    </row>
    <row r="35" spans="1:39" x14ac:dyDescent="0.25">
      <c r="A35" s="1" t="s">
        <v>4</v>
      </c>
      <c r="B35" s="21"/>
      <c r="C35" s="21"/>
      <c r="D35" s="21"/>
      <c r="E35" s="21"/>
      <c r="F35" s="21"/>
      <c r="G35" s="21"/>
      <c r="H35" s="17"/>
      <c r="I35" s="17"/>
      <c r="J35" s="17"/>
      <c r="K35" s="17"/>
      <c r="L35" s="17"/>
      <c r="M35" s="17"/>
      <c r="N35" s="17"/>
      <c r="O35" s="17">
        <v>-624</v>
      </c>
      <c r="P35" s="17">
        <f>-136</f>
        <v>-136</v>
      </c>
      <c r="Q35" s="17">
        <v>-77</v>
      </c>
      <c r="R35" s="18">
        <v>-206</v>
      </c>
      <c r="S35" s="17">
        <v>-1037</v>
      </c>
      <c r="T35" s="17">
        <f>-139</f>
        <v>-139</v>
      </c>
      <c r="U35" s="17">
        <v>-112</v>
      </c>
      <c r="V35" s="17">
        <v>-51</v>
      </c>
      <c r="W35" s="17">
        <v>-93</v>
      </c>
      <c r="X35" s="17">
        <f>-280-SUM(Y35:AA35)</f>
        <v>-82</v>
      </c>
      <c r="Y35" s="17">
        <v>-69</v>
      </c>
      <c r="Z35" s="17">
        <v>-88</v>
      </c>
      <c r="AA35" s="17">
        <v>-41</v>
      </c>
      <c r="AB35" s="17">
        <f>-355-SUM(AC35:AE35)</f>
        <v>-123</v>
      </c>
      <c r="AC35" s="17">
        <v>-58</v>
      </c>
      <c r="AD35" s="17">
        <v>-74</v>
      </c>
      <c r="AE35" s="17">
        <v>-100</v>
      </c>
      <c r="AF35" s="17">
        <f>-251-SUM(AG35:AI35)</f>
        <v>-67</v>
      </c>
      <c r="AG35" s="17">
        <v>-63</v>
      </c>
      <c r="AH35" s="17">
        <v>-49</v>
      </c>
      <c r="AI35" s="17">
        <v>-72</v>
      </c>
      <c r="AJ35" s="17">
        <f>-321-SUM(AK35:AM35)</f>
        <v>-72</v>
      </c>
      <c r="AK35" s="17">
        <v>-88</v>
      </c>
      <c r="AL35" s="17">
        <v>-87</v>
      </c>
      <c r="AM35" s="17">
        <v>-74</v>
      </c>
    </row>
    <row r="36" spans="1:39" x14ac:dyDescent="0.25">
      <c r="A36" s="1" t="s">
        <v>63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17">
        <v>-156</v>
      </c>
      <c r="P36" s="17">
        <f>-164</f>
        <v>-164</v>
      </c>
      <c r="Q36" s="17">
        <v>-180</v>
      </c>
      <c r="R36" s="18">
        <v>-158</v>
      </c>
      <c r="S36" s="17">
        <v>-165</v>
      </c>
      <c r="T36" s="17">
        <f>-155</f>
        <v>-155</v>
      </c>
      <c r="U36" s="17">
        <v>-171</v>
      </c>
      <c r="V36" s="17">
        <v>-146</v>
      </c>
      <c r="W36" s="17">
        <v>-142</v>
      </c>
      <c r="X36" s="17">
        <f>-156-SUM(Y36:AA36)</f>
        <v>-40</v>
      </c>
      <c r="Y36" s="17">
        <v>-40</v>
      </c>
      <c r="Z36" s="17">
        <v>-42</v>
      </c>
      <c r="AA36" s="17">
        <v>-34</v>
      </c>
      <c r="AB36" s="17">
        <f>-139-SUM(AC36:AE36)</f>
        <v>-33</v>
      </c>
      <c r="AC36" s="17">
        <v>-37</v>
      </c>
      <c r="AD36" s="17">
        <v>-35</v>
      </c>
      <c r="AE36" s="17">
        <v>-34</v>
      </c>
      <c r="AF36" s="17">
        <f>-133-SUM(AG36:AI36)</f>
        <v>-36</v>
      </c>
      <c r="AG36" s="17">
        <v>-34</v>
      </c>
      <c r="AH36" s="17">
        <v>-33</v>
      </c>
      <c r="AI36" s="17">
        <v>-30</v>
      </c>
      <c r="AJ36" s="17">
        <f>-118-SUM(AK36:AM36)</f>
        <v>-29</v>
      </c>
      <c r="AK36" s="17">
        <v>-30</v>
      </c>
      <c r="AL36" s="17">
        <v>-31</v>
      </c>
      <c r="AM36" s="17">
        <v>-28</v>
      </c>
    </row>
    <row r="37" spans="1:39" x14ac:dyDescent="0.25">
      <c r="A37" s="1" t="s">
        <v>5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17">
        <v>1136</v>
      </c>
      <c r="P37" s="17">
        <f>1783</f>
        <v>1783</v>
      </c>
      <c r="Q37" s="17">
        <v>2016</v>
      </c>
      <c r="R37" s="18">
        <v>2401</v>
      </c>
      <c r="S37" s="17">
        <v>1007</v>
      </c>
      <c r="T37" s="17">
        <f>1789</f>
        <v>1789</v>
      </c>
      <c r="U37" s="17">
        <v>2008</v>
      </c>
      <c r="V37" s="17">
        <v>2153</v>
      </c>
      <c r="W37" s="17">
        <v>1742</v>
      </c>
      <c r="X37" s="17">
        <f>7223-SUM(Y37:AA37)</f>
        <v>1665</v>
      </c>
      <c r="Y37" s="17">
        <v>1904</v>
      </c>
      <c r="Z37" s="17">
        <v>1866</v>
      </c>
      <c r="AA37" s="17">
        <v>1788</v>
      </c>
      <c r="AB37" s="17">
        <f>6946-SUM(AC37:AE37)</f>
        <v>1500</v>
      </c>
      <c r="AC37" s="17">
        <v>1876</v>
      </c>
      <c r="AD37" s="17">
        <v>1840</v>
      </c>
      <c r="AE37" s="17">
        <v>1730</v>
      </c>
      <c r="AF37" s="17">
        <f>7135-SUM(AG37:AI37)</f>
        <v>1662</v>
      </c>
      <c r="AG37" s="17">
        <v>1901</v>
      </c>
      <c r="AH37" s="17">
        <v>1856</v>
      </c>
      <c r="AI37" s="17">
        <v>1716</v>
      </c>
      <c r="AJ37" s="17">
        <f>6666-SUM(AK37:AM37)</f>
        <v>1579</v>
      </c>
      <c r="AK37" s="17">
        <v>1739</v>
      </c>
      <c r="AL37" s="17">
        <v>1702</v>
      </c>
      <c r="AM37" s="17">
        <v>1646</v>
      </c>
    </row>
    <row r="38" spans="1:39" x14ac:dyDescent="0.25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17"/>
      <c r="P38" s="17"/>
      <c r="Q38" s="17"/>
      <c r="R38" s="17"/>
      <c r="S38" s="17"/>
      <c r="T38" s="17"/>
      <c r="U38" s="17"/>
      <c r="V38" s="17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</row>
  </sheetData>
  <phoneticPr fontId="2" type="noConversion"/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Income_Statement</vt:lpstr>
      <vt:lpstr>Sales_per_Division</vt:lpstr>
      <vt:lpstr>OpIncome_per_Division</vt:lpstr>
      <vt:lpstr>Sales_per_Region</vt:lpstr>
      <vt:lpstr>Division_Region_Matrix_Sales</vt:lpstr>
      <vt:lpstr>External Parameters</vt:lpstr>
      <vt:lpstr>External Parameters Changes</vt:lpstr>
      <vt:lpstr>Matching Tabelle</vt:lpstr>
      <vt:lpstr>Sales_per_Division (bef_Match)</vt:lpstr>
      <vt:lpstr>Division_Region_bef_Match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Kneißler</dc:creator>
  <cp:lastModifiedBy>Max Kneißler</cp:lastModifiedBy>
  <dcterms:created xsi:type="dcterms:W3CDTF">2022-08-09T13:26:07Z</dcterms:created>
  <dcterms:modified xsi:type="dcterms:W3CDTF">2022-08-30T08:53:25Z</dcterms:modified>
</cp:coreProperties>
</file>