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Lab 3\"/>
    </mc:Choice>
  </mc:AlternateContent>
  <xr:revisionPtr revIDLastSave="0" documentId="13_ncr:1_{99D4E79B-8BA1-4BA7-9204-418A6779062E}" xr6:coauthVersionLast="44" xr6:coauthVersionMax="44" xr10:uidLastSave="{00000000-0000-0000-0000-000000000000}"/>
  <bookViews>
    <workbookView minimized="1" xWindow="6048" yWindow="708" windowWidth="17280" windowHeight="9024" activeTab="5" xr2:uid="{0F057FD3-95CD-4B94-91F0-E0D38C981D66}"/>
  </bookViews>
  <sheets>
    <sheet name="Solution_1" sheetId="1" r:id="rId1"/>
    <sheet name="Solution_2" sheetId="2" r:id="rId2"/>
    <sheet name="Solution_3" sheetId="3" r:id="rId3"/>
    <sheet name="Concentrations" sheetId="4" r:id="rId4"/>
    <sheet name="A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L3" i="4"/>
  <c r="G4" i="6"/>
  <c r="G5" i="6"/>
  <c r="E4" i="6"/>
  <c r="E5" i="6"/>
  <c r="E3" i="6"/>
  <c r="L14" i="5"/>
  <c r="L13" i="5"/>
  <c r="L12" i="5"/>
  <c r="L11" i="5"/>
  <c r="L10" i="5"/>
  <c r="L9" i="5"/>
  <c r="L8" i="5"/>
  <c r="L7" i="5"/>
  <c r="L6" i="5"/>
  <c r="L5" i="5"/>
  <c r="K5" i="5"/>
  <c r="L4" i="5"/>
  <c r="K4" i="5"/>
  <c r="L3" i="5"/>
  <c r="H14" i="5"/>
  <c r="H13" i="5"/>
  <c r="H12" i="5"/>
  <c r="H11" i="5"/>
  <c r="H10" i="5"/>
  <c r="H9" i="5"/>
  <c r="H8" i="5"/>
  <c r="H7" i="5"/>
  <c r="G7" i="5"/>
  <c r="H6" i="5"/>
  <c r="G6" i="5"/>
  <c r="H5" i="5"/>
  <c r="G5" i="5"/>
  <c r="H4" i="5"/>
  <c r="G4" i="5"/>
  <c r="H3" i="5"/>
  <c r="G3" i="5"/>
  <c r="D14" i="5"/>
  <c r="D13" i="5"/>
  <c r="D12" i="5"/>
  <c r="D11" i="5"/>
  <c r="D10" i="5"/>
  <c r="D9" i="5"/>
  <c r="D8" i="5"/>
  <c r="D7" i="5"/>
  <c r="D6" i="5"/>
  <c r="D5" i="5"/>
  <c r="C5" i="5"/>
  <c r="D4" i="5"/>
  <c r="C4" i="5"/>
  <c r="D3" i="5"/>
  <c r="G16" i="4"/>
  <c r="G15" i="4"/>
  <c r="G14" i="4"/>
  <c r="D5" i="4"/>
  <c r="L4" i="4"/>
  <c r="L5" i="4"/>
  <c r="K4" i="4"/>
  <c r="K5" i="4"/>
  <c r="K3" i="4"/>
  <c r="J3" i="4"/>
  <c r="P7" i="4"/>
  <c r="P8" i="4"/>
  <c r="P6" i="4"/>
  <c r="R3" i="4"/>
  <c r="R2" i="4"/>
  <c r="O4" i="4"/>
  <c r="O3" i="4"/>
  <c r="O2" i="4"/>
  <c r="H4" i="4"/>
  <c r="H3" i="4"/>
  <c r="F3" i="4"/>
  <c r="J4" i="4"/>
  <c r="J5" i="4"/>
  <c r="H5" i="4"/>
  <c r="D4" i="4"/>
  <c r="D3" i="4"/>
  <c r="F4" i="4"/>
  <c r="F5" i="4"/>
  <c r="E1" i="4"/>
  <c r="D7" i="2" l="1"/>
  <c r="D6" i="2"/>
  <c r="D5" i="2"/>
  <c r="D4" i="2"/>
  <c r="D3" i="2"/>
  <c r="E14" i="3"/>
  <c r="E13" i="3"/>
  <c r="E12" i="3"/>
  <c r="E11" i="3"/>
  <c r="E10" i="3"/>
  <c r="E9" i="3"/>
  <c r="E8" i="3"/>
  <c r="E7" i="3"/>
  <c r="E6" i="3"/>
  <c r="E5" i="3"/>
  <c r="D5" i="3"/>
  <c r="E4" i="3"/>
  <c r="D4" i="3"/>
  <c r="E3" i="3"/>
  <c r="E14" i="2"/>
  <c r="E13" i="2"/>
  <c r="E12" i="2"/>
  <c r="E11" i="2"/>
  <c r="E10" i="2"/>
  <c r="E9" i="2"/>
  <c r="E8" i="2"/>
  <c r="E7" i="2"/>
  <c r="E6" i="2"/>
  <c r="E5" i="2"/>
  <c r="E4" i="2"/>
  <c r="E3" i="2"/>
  <c r="E4" i="1"/>
  <c r="E5" i="1"/>
  <c r="E6" i="1"/>
  <c r="E7" i="1"/>
  <c r="E8" i="1"/>
  <c r="E9" i="1"/>
  <c r="E10" i="1"/>
  <c r="E11" i="1"/>
  <c r="E12" i="1"/>
  <c r="E13" i="1"/>
  <c r="E14" i="1"/>
  <c r="E3" i="1"/>
  <c r="D5" i="1"/>
  <c r="D4" i="1"/>
</calcChain>
</file>

<file path=xl/sharedStrings.xml><?xml version="1.0" encoding="utf-8"?>
<sst xmlns="http://schemas.openxmlformats.org/spreadsheetml/2006/main" count="58" uniqueCount="40">
  <si>
    <t>Trial</t>
  </si>
  <si>
    <t>Absorbance</t>
  </si>
  <si>
    <t>Time</t>
  </si>
  <si>
    <t>1/A</t>
  </si>
  <si>
    <t>Run</t>
  </si>
  <si>
    <t>.04M Aniline</t>
  </si>
  <si>
    <t>.04 M I2</t>
  </si>
  <si>
    <t>1.00 M KH2PO4</t>
  </si>
  <si>
    <t>1.00 M NaOH</t>
  </si>
  <si>
    <t>IC Aniline</t>
  </si>
  <si>
    <t>IC I2</t>
  </si>
  <si>
    <t>IC KH2PO4</t>
  </si>
  <si>
    <t>IC NaOH</t>
  </si>
  <si>
    <t>IC HPO4</t>
  </si>
  <si>
    <t>a</t>
  </si>
  <si>
    <t>b</t>
  </si>
  <si>
    <t>c</t>
  </si>
  <si>
    <t>Ka</t>
  </si>
  <si>
    <t>x+=</t>
  </si>
  <si>
    <t>x-=</t>
  </si>
  <si>
    <t>Initial pH</t>
  </si>
  <si>
    <t>Solution</t>
  </si>
  <si>
    <t>mL of .04M Aniline</t>
  </si>
  <si>
    <t>mL of .04M I2</t>
  </si>
  <si>
    <t>mL of 1.00M KH2PO4</t>
  </si>
  <si>
    <t>mL of 1.00M NaOH</t>
  </si>
  <si>
    <t>Init. Conc. Aniline</t>
  </si>
  <si>
    <t>Init. Conc. I2</t>
  </si>
  <si>
    <t>Init. Conc. KH2PO4</t>
  </si>
  <si>
    <t>Init. Conc. NaOH</t>
  </si>
  <si>
    <t>Init. Conc. NaHPO4</t>
  </si>
  <si>
    <t>Solution 1</t>
  </si>
  <si>
    <t>Solution 2</t>
  </si>
  <si>
    <t>Solution 3</t>
  </si>
  <si>
    <t>A</t>
  </si>
  <si>
    <t>Slope</t>
  </si>
  <si>
    <t>k_2</t>
  </si>
  <si>
    <t>\frac{1}{\epsilon c_0}</t>
  </si>
  <si>
    <t>Temp</t>
  </si>
  <si>
    <t>Rate w/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</si>
</sst>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C4E6-AC04-4D96-A669-29242C95005E}">
  <dimension ref="B2:E14"/>
  <sheetViews>
    <sheetView workbookViewId="0">
      <selection activeCell="C3" sqref="C3"/>
    </sheetView>
  </sheetViews>
  <sheetFormatPr defaultRowHeight="14.4" x14ac:dyDescent="0.3"/>
  <cols>
    <col min="2" max="2" width="4.5546875" bestFit="1" customWidth="1"/>
    <col min="3" max="3" width="10.5546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</v>
      </c>
      <c r="C3">
        <v>1.1719999999999999</v>
      </c>
      <c r="D3" s="1">
        <v>391</v>
      </c>
      <c r="E3">
        <f>1/C3</f>
        <v>0.85324232081911267</v>
      </c>
    </row>
    <row r="4" spans="2:5" x14ac:dyDescent="0.3">
      <c r="B4">
        <v>2</v>
      </c>
      <c r="C4">
        <v>1.1551</v>
      </c>
      <c r="D4" s="1">
        <f>10*60</f>
        <v>600</v>
      </c>
      <c r="E4">
        <f t="shared" ref="E4:E14" si="0">1/C4</f>
        <v>0.86572591117652153</v>
      </c>
    </row>
    <row r="5" spans="2:5" x14ac:dyDescent="0.3">
      <c r="B5">
        <v>3</v>
      </c>
      <c r="C5">
        <v>1.1294999999999999</v>
      </c>
      <c r="D5" s="1">
        <f>15*60+28</f>
        <v>928</v>
      </c>
      <c r="E5">
        <f t="shared" si="0"/>
        <v>0.88534749889331565</v>
      </c>
    </row>
    <row r="6" spans="2:5" x14ac:dyDescent="0.3">
      <c r="B6">
        <v>4</v>
      </c>
      <c r="C6">
        <v>1.1091</v>
      </c>
      <c r="D6" s="1">
        <v>1200</v>
      </c>
      <c r="E6">
        <f t="shared" si="0"/>
        <v>0.90163195383644401</v>
      </c>
    </row>
    <row r="7" spans="2:5" x14ac:dyDescent="0.3">
      <c r="B7">
        <v>5</v>
      </c>
      <c r="C7">
        <v>1.0848</v>
      </c>
      <c r="D7" s="1">
        <v>1500</v>
      </c>
      <c r="E7">
        <f t="shared" si="0"/>
        <v>0.92182890855457233</v>
      </c>
    </row>
    <row r="8" spans="2:5" x14ac:dyDescent="0.3">
      <c r="B8">
        <v>6</v>
      </c>
      <c r="C8">
        <v>1.0620000000000001</v>
      </c>
      <c r="D8" s="1">
        <v>1800</v>
      </c>
      <c r="E8">
        <f t="shared" si="0"/>
        <v>0.94161958568738224</v>
      </c>
    </row>
    <row r="9" spans="2:5" x14ac:dyDescent="0.3">
      <c r="B9">
        <v>7</v>
      </c>
      <c r="C9">
        <v>1.0398000000000001</v>
      </c>
      <c r="D9" s="1">
        <v>2100</v>
      </c>
      <c r="E9">
        <f t="shared" si="0"/>
        <v>0.96172340834775916</v>
      </c>
    </row>
    <row r="10" spans="2:5" x14ac:dyDescent="0.3">
      <c r="B10">
        <v>8</v>
      </c>
      <c r="C10">
        <v>1.0205</v>
      </c>
      <c r="D10" s="1">
        <v>2400</v>
      </c>
      <c r="E10">
        <f t="shared" si="0"/>
        <v>0.97991180793728572</v>
      </c>
    </row>
    <row r="11" spans="2:5" x14ac:dyDescent="0.3">
      <c r="B11">
        <v>9</v>
      </c>
      <c r="C11">
        <v>1.0026999999999999</v>
      </c>
      <c r="D11" s="1">
        <v>2700</v>
      </c>
      <c r="E11">
        <f t="shared" si="0"/>
        <v>0.99730727037000111</v>
      </c>
    </row>
    <row r="12" spans="2:5" x14ac:dyDescent="0.3">
      <c r="B12">
        <v>10</v>
      </c>
      <c r="C12">
        <v>0.98340000000000005</v>
      </c>
      <c r="D12" s="1">
        <v>3000</v>
      </c>
      <c r="E12">
        <f t="shared" si="0"/>
        <v>1.016880211511084</v>
      </c>
    </row>
    <row r="13" spans="2:5" x14ac:dyDescent="0.3">
      <c r="B13">
        <v>11</v>
      </c>
      <c r="C13">
        <v>0.96540000000000004</v>
      </c>
      <c r="D13" s="1">
        <v>3300</v>
      </c>
      <c r="E13">
        <f t="shared" si="0"/>
        <v>1.0358400662937641</v>
      </c>
    </row>
    <row r="14" spans="2:5" x14ac:dyDescent="0.3">
      <c r="B14">
        <v>12</v>
      </c>
      <c r="C14">
        <v>0.94930000000000003</v>
      </c>
      <c r="D14" s="1">
        <v>3600</v>
      </c>
      <c r="E14">
        <f t="shared" si="0"/>
        <v>1.0534077741493733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ECC2-6F49-4DA6-9C81-8AC4A9A5F87B}">
  <dimension ref="B2:E14"/>
  <sheetViews>
    <sheetView workbookViewId="0">
      <selection activeCell="C3" sqref="C3"/>
    </sheetView>
  </sheetViews>
  <sheetFormatPr defaultRowHeight="14.4" x14ac:dyDescent="0.3"/>
  <cols>
    <col min="2" max="2" width="4.5546875" bestFit="1" customWidth="1"/>
    <col min="3" max="3" width="10.5546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</v>
      </c>
      <c r="C3">
        <v>1.1628000000000001</v>
      </c>
      <c r="D3" s="1">
        <f>7*60+17</f>
        <v>437</v>
      </c>
      <c r="E3">
        <f>1/C3</f>
        <v>0.85999312005503947</v>
      </c>
    </row>
    <row r="4" spans="2:5" x14ac:dyDescent="0.3">
      <c r="B4">
        <v>2</v>
      </c>
      <c r="C4">
        <v>1.1405000000000001</v>
      </c>
      <c r="D4" s="1">
        <f>10*60+50</f>
        <v>650</v>
      </c>
      <c r="E4">
        <f t="shared" ref="E4:E14" si="0">1/C4</f>
        <v>0.87680841736080661</v>
      </c>
    </row>
    <row r="5" spans="2:5" x14ac:dyDescent="0.3">
      <c r="B5">
        <v>3</v>
      </c>
      <c r="C5">
        <v>1.1158999999999999</v>
      </c>
      <c r="D5" s="1">
        <f>15*60+24</f>
        <v>924</v>
      </c>
      <c r="E5">
        <f t="shared" si="0"/>
        <v>0.89613764674253971</v>
      </c>
    </row>
    <row r="6" spans="2:5" x14ac:dyDescent="0.3">
      <c r="B6">
        <v>4</v>
      </c>
      <c r="C6">
        <v>1.0956999999999999</v>
      </c>
      <c r="D6" s="1">
        <f>20*60</f>
        <v>1200</v>
      </c>
      <c r="E6">
        <f t="shared" si="0"/>
        <v>0.9126585744273068</v>
      </c>
    </row>
    <row r="7" spans="2:5" x14ac:dyDescent="0.3">
      <c r="B7">
        <v>5</v>
      </c>
      <c r="C7">
        <v>1.0733999999999999</v>
      </c>
      <c r="D7" s="1">
        <f>25*60</f>
        <v>1500</v>
      </c>
      <c r="E7">
        <f t="shared" si="0"/>
        <v>0.93161915408980811</v>
      </c>
    </row>
    <row r="8" spans="2:5" x14ac:dyDescent="0.3">
      <c r="B8">
        <v>6</v>
      </c>
      <c r="C8">
        <v>1.0513999999999999</v>
      </c>
      <c r="D8" s="1">
        <v>1800</v>
      </c>
      <c r="E8">
        <f t="shared" si="0"/>
        <v>0.95111280197831471</v>
      </c>
    </row>
    <row r="9" spans="2:5" x14ac:dyDescent="0.3">
      <c r="B9">
        <v>7</v>
      </c>
      <c r="C9">
        <v>1.0301</v>
      </c>
      <c r="D9" s="1">
        <v>2100</v>
      </c>
      <c r="E9">
        <f t="shared" si="0"/>
        <v>0.97077953596738176</v>
      </c>
    </row>
    <row r="10" spans="2:5" x14ac:dyDescent="0.3">
      <c r="B10">
        <v>8</v>
      </c>
      <c r="C10">
        <v>1.0093000000000001</v>
      </c>
      <c r="D10" s="1">
        <v>2400</v>
      </c>
      <c r="E10">
        <f t="shared" si="0"/>
        <v>0.99078569305459219</v>
      </c>
    </row>
    <row r="11" spans="2:5" x14ac:dyDescent="0.3">
      <c r="B11">
        <v>9</v>
      </c>
      <c r="C11">
        <v>0.99080000000000001</v>
      </c>
      <c r="D11" s="1">
        <v>2700</v>
      </c>
      <c r="E11">
        <f t="shared" si="0"/>
        <v>1.0092854259184498</v>
      </c>
    </row>
    <row r="12" spans="2:5" x14ac:dyDescent="0.3">
      <c r="B12">
        <v>10</v>
      </c>
      <c r="C12">
        <v>0.97119999999999995</v>
      </c>
      <c r="D12" s="1">
        <v>3000</v>
      </c>
      <c r="E12">
        <f t="shared" si="0"/>
        <v>1.0296540362438222</v>
      </c>
    </row>
    <row r="13" spans="2:5" x14ac:dyDescent="0.3">
      <c r="B13">
        <v>11</v>
      </c>
      <c r="C13">
        <v>0.95389999999999997</v>
      </c>
      <c r="D13" s="1">
        <v>3300</v>
      </c>
      <c r="E13">
        <f t="shared" si="0"/>
        <v>1.0483279169724291</v>
      </c>
    </row>
    <row r="14" spans="2:5" x14ac:dyDescent="0.3">
      <c r="B14">
        <v>12</v>
      </c>
      <c r="C14">
        <v>0.93630000000000002</v>
      </c>
      <c r="D14" s="1">
        <v>3600</v>
      </c>
      <c r="E14">
        <f t="shared" si="0"/>
        <v>1.0680337498664958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1975-0A09-4D3B-950A-510FD3F9642A}">
  <dimension ref="B2:E14"/>
  <sheetViews>
    <sheetView workbookViewId="0">
      <selection activeCell="C3" sqref="C3"/>
    </sheetView>
  </sheetViews>
  <sheetFormatPr defaultRowHeight="14.4" x14ac:dyDescent="0.3"/>
  <cols>
    <col min="2" max="2" width="4.5546875" bestFit="1" customWidth="1"/>
    <col min="3" max="3" width="10.5546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</v>
      </c>
      <c r="C3">
        <v>1.1456</v>
      </c>
      <c r="D3" s="1">
        <v>391</v>
      </c>
      <c r="E3">
        <f>1/C3</f>
        <v>0.87290502793296088</v>
      </c>
    </row>
    <row r="4" spans="2:5" x14ac:dyDescent="0.3">
      <c r="B4">
        <v>2</v>
      </c>
      <c r="C4">
        <v>1.0980000000000001</v>
      </c>
      <c r="D4" s="1">
        <f>10*60</f>
        <v>600</v>
      </c>
      <c r="E4">
        <f t="shared" ref="E4:E14" si="0">1/C4</f>
        <v>0.91074681238615662</v>
      </c>
    </row>
    <row r="5" spans="2:5" x14ac:dyDescent="0.3">
      <c r="B5">
        <v>3</v>
      </c>
      <c r="C5">
        <v>1.0606</v>
      </c>
      <c r="D5" s="1">
        <f>15*60+28</f>
        <v>928</v>
      </c>
      <c r="E5">
        <f t="shared" si="0"/>
        <v>0.94286253064303227</v>
      </c>
    </row>
    <row r="6" spans="2:5" x14ac:dyDescent="0.3">
      <c r="B6">
        <v>4</v>
      </c>
      <c r="C6">
        <v>1.0229999999999999</v>
      </c>
      <c r="D6" s="1">
        <v>1200</v>
      </c>
      <c r="E6">
        <f t="shared" si="0"/>
        <v>0.97751710654936474</v>
      </c>
    </row>
    <row r="7" spans="2:5" x14ac:dyDescent="0.3">
      <c r="B7">
        <v>5</v>
      </c>
      <c r="C7">
        <v>0.98119999999999996</v>
      </c>
      <c r="D7" s="1">
        <v>1500</v>
      </c>
      <c r="E7">
        <f t="shared" si="0"/>
        <v>1.019160211985324</v>
      </c>
    </row>
    <row r="8" spans="2:5" x14ac:dyDescent="0.3">
      <c r="B8">
        <v>6</v>
      </c>
      <c r="C8">
        <v>0.9486</v>
      </c>
      <c r="D8" s="1">
        <v>1800</v>
      </c>
      <c r="E8">
        <f t="shared" si="0"/>
        <v>1.0541851149061776</v>
      </c>
    </row>
    <row r="9" spans="2:5" x14ac:dyDescent="0.3">
      <c r="B9">
        <v>7</v>
      </c>
      <c r="C9">
        <v>0.91790000000000005</v>
      </c>
      <c r="D9" s="1">
        <v>2100</v>
      </c>
      <c r="E9">
        <f t="shared" si="0"/>
        <v>1.0894432944765224</v>
      </c>
    </row>
    <row r="10" spans="2:5" x14ac:dyDescent="0.3">
      <c r="B10">
        <v>8</v>
      </c>
      <c r="C10">
        <v>0.89039999999999997</v>
      </c>
      <c r="D10" s="1">
        <v>2400</v>
      </c>
      <c r="E10">
        <f t="shared" si="0"/>
        <v>1.1230907457322552</v>
      </c>
    </row>
    <row r="11" spans="2:5" x14ac:dyDescent="0.3">
      <c r="B11">
        <v>9</v>
      </c>
      <c r="C11">
        <v>0.86370000000000002</v>
      </c>
      <c r="D11" s="1">
        <v>2700</v>
      </c>
      <c r="E11">
        <f t="shared" si="0"/>
        <v>1.1578094245687161</v>
      </c>
    </row>
    <row r="12" spans="2:5" x14ac:dyDescent="0.3">
      <c r="B12">
        <v>10</v>
      </c>
      <c r="C12">
        <v>0.84030000000000005</v>
      </c>
      <c r="D12" s="1">
        <v>3000</v>
      </c>
      <c r="E12">
        <f t="shared" si="0"/>
        <v>1.1900511722004046</v>
      </c>
    </row>
    <row r="13" spans="2:5" x14ac:dyDescent="0.3">
      <c r="B13">
        <v>11</v>
      </c>
      <c r="C13">
        <v>0.81769999999999998</v>
      </c>
      <c r="D13" s="1">
        <v>3300</v>
      </c>
      <c r="E13">
        <f t="shared" si="0"/>
        <v>1.2229423994129878</v>
      </c>
    </row>
    <row r="14" spans="2:5" x14ac:dyDescent="0.3">
      <c r="B14">
        <v>12</v>
      </c>
      <c r="C14">
        <v>0.79720000000000002</v>
      </c>
      <c r="D14" s="1">
        <v>3600</v>
      </c>
      <c r="E14">
        <f t="shared" si="0"/>
        <v>1.2543903662819869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61A9-BA0A-45DC-914A-239E0639ED91}">
  <dimension ref="B1:R16"/>
  <sheetViews>
    <sheetView topLeftCell="F1" zoomScale="170" zoomScaleNormal="170" workbookViewId="0">
      <selection activeCell="L4" sqref="L4"/>
    </sheetView>
  </sheetViews>
  <sheetFormatPr defaultRowHeight="14.4" x14ac:dyDescent="0.3"/>
  <cols>
    <col min="2" max="2" width="7.6640625" bestFit="1" customWidth="1"/>
    <col min="3" max="3" width="11.21875" bestFit="1" customWidth="1"/>
    <col min="4" max="4" width="10.33203125" bestFit="1" customWidth="1"/>
    <col min="5" max="5" width="11.21875" bestFit="1" customWidth="1"/>
    <col min="6" max="6" width="12.21875" bestFit="1" customWidth="1"/>
    <col min="7" max="7" width="13.77734375" bestFit="1" customWidth="1"/>
    <col min="8" max="8" width="13.77734375" customWidth="1"/>
    <col min="9" max="9" width="12" bestFit="1" customWidth="1"/>
    <col min="15" max="16" width="9.21875" bestFit="1" customWidth="1"/>
  </cols>
  <sheetData>
    <row r="1" spans="2:18" x14ac:dyDescent="0.3">
      <c r="B1" s="2"/>
      <c r="C1" s="2">
        <v>0.04</v>
      </c>
      <c r="D1" s="2"/>
      <c r="E1" s="2">
        <f>0.5023/(253*0.05)</f>
        <v>3.9707509881422923E-2</v>
      </c>
      <c r="F1" s="2"/>
      <c r="G1" s="2"/>
      <c r="H1" s="2"/>
      <c r="I1" s="2"/>
      <c r="J1" s="2"/>
      <c r="L1" t="s">
        <v>17</v>
      </c>
      <c r="M1" s="3">
        <v>6.1999999999999999E-8</v>
      </c>
      <c r="N1" s="2"/>
    </row>
    <row r="2" spans="2:18" x14ac:dyDescent="0.3">
      <c r="B2" s="2" t="s">
        <v>4</v>
      </c>
      <c r="C2" s="2" t="s">
        <v>5</v>
      </c>
      <c r="D2" s="2" t="s">
        <v>9</v>
      </c>
      <c r="E2" s="2" t="s">
        <v>6</v>
      </c>
      <c r="F2" s="2" t="s">
        <v>10</v>
      </c>
      <c r="G2" s="2" t="s">
        <v>7</v>
      </c>
      <c r="H2" s="2" t="s">
        <v>11</v>
      </c>
      <c r="I2" s="2" t="s">
        <v>8</v>
      </c>
      <c r="J2" s="2" t="s">
        <v>12</v>
      </c>
      <c r="K2" s="2" t="s">
        <v>13</v>
      </c>
      <c r="L2" s="2" t="s">
        <v>20</v>
      </c>
      <c r="N2" s="2" t="s">
        <v>14</v>
      </c>
      <c r="O2">
        <f>1</f>
        <v>1</v>
      </c>
      <c r="Q2" t="s">
        <v>18</v>
      </c>
      <c r="R2" s="3">
        <f>(-O3+SQRT((O3^2)-4*O2*O4))/(2*O2)</f>
        <v>16129032.538064513</v>
      </c>
    </row>
    <row r="3" spans="2:18" x14ac:dyDescent="0.3">
      <c r="B3" s="2">
        <v>1</v>
      </c>
      <c r="C3" s="2">
        <v>10</v>
      </c>
      <c r="D3" s="2">
        <f>$C$1*C3/50</f>
        <v>8.0000000000000002E-3</v>
      </c>
      <c r="E3" s="2">
        <v>10</v>
      </c>
      <c r="F3" s="2">
        <f>($E$1*E3)/50</f>
        <v>7.9415019762845845E-3</v>
      </c>
      <c r="G3" s="2">
        <v>10</v>
      </c>
      <c r="H3" s="2">
        <f>(1*G3)/50</f>
        <v>0.2</v>
      </c>
      <c r="I3" s="2">
        <v>4</v>
      </c>
      <c r="J3" s="2">
        <f>(1*I3)/50</f>
        <v>0.08</v>
      </c>
      <c r="K3">
        <f>J3</f>
        <v>0.08</v>
      </c>
      <c r="L3">
        <f>-LOG($M$1)+LOG(K3/H3)</f>
        <v>6.8096683018297091</v>
      </c>
      <c r="N3" s="2" t="s">
        <v>15</v>
      </c>
      <c r="O3" s="3">
        <f>-H3-J3-(1/M1)</f>
        <v>-16129032.538064515</v>
      </c>
      <c r="Q3" t="s">
        <v>19</v>
      </c>
      <c r="R3" s="3">
        <f>(-O3-SQRT((O3^2)-4*O2*O4))/(2*O2)</f>
        <v>9.3132257461547852E-10</v>
      </c>
    </row>
    <row r="4" spans="2:18" x14ac:dyDescent="0.3">
      <c r="B4" s="2">
        <v>2</v>
      </c>
      <c r="C4" s="2">
        <v>10</v>
      </c>
      <c r="D4" s="2">
        <f t="shared" ref="D4:D5" si="0">$C$1*C4/50</f>
        <v>8.0000000000000002E-3</v>
      </c>
      <c r="E4" s="2">
        <v>10</v>
      </c>
      <c r="F4" s="2">
        <f t="shared" ref="F4:F5" si="1">($E$1*E4)/50</f>
        <v>7.9415019762845845E-3</v>
      </c>
      <c r="G4" s="2">
        <v>16</v>
      </c>
      <c r="H4" s="2">
        <f>(1*G4)/50</f>
        <v>0.32</v>
      </c>
      <c r="I4" s="2">
        <v>4</v>
      </c>
      <c r="J4" s="2">
        <f t="shared" ref="J4:J5" si="2">(1*I4)/50</f>
        <v>0.08</v>
      </c>
      <c r="K4">
        <f t="shared" ref="K4:K8" si="3">J4</f>
        <v>0.08</v>
      </c>
      <c r="L4">
        <f t="shared" ref="L4:L5" si="4">-LOG($M$1)+LOG(K4/H4)</f>
        <v>6.605548319173784</v>
      </c>
      <c r="N4" s="2" t="s">
        <v>16</v>
      </c>
      <c r="O4">
        <f>H3*J3</f>
        <v>1.6E-2</v>
      </c>
    </row>
    <row r="5" spans="2:18" x14ac:dyDescent="0.3">
      <c r="B5" s="2">
        <v>3</v>
      </c>
      <c r="C5" s="2">
        <v>10</v>
      </c>
      <c r="D5" s="2">
        <f>$C$1*C5/50</f>
        <v>8.0000000000000002E-3</v>
      </c>
      <c r="E5" s="2">
        <v>10</v>
      </c>
      <c r="F5" s="2">
        <f t="shared" si="1"/>
        <v>7.9415019762845845E-3</v>
      </c>
      <c r="G5" s="2">
        <v>14</v>
      </c>
      <c r="H5" s="2">
        <f t="shared" ref="H4:H5" si="5">(1*G5)/50</f>
        <v>0.28000000000000003</v>
      </c>
      <c r="I5" s="2">
        <v>8</v>
      </c>
      <c r="J5" s="2">
        <f t="shared" si="2"/>
        <v>0.16</v>
      </c>
      <c r="K5">
        <f t="shared" si="3"/>
        <v>0.16</v>
      </c>
      <c r="L5">
        <f t="shared" si="4"/>
        <v>6.9645702618154521</v>
      </c>
    </row>
    <row r="6" spans="2:18" x14ac:dyDescent="0.3">
      <c r="P6" s="3">
        <f>-LOG($M$1)+LOG(J3/H3)</f>
        <v>6.8096683018297091</v>
      </c>
    </row>
    <row r="7" spans="2:18" x14ac:dyDescent="0.3">
      <c r="P7" s="3">
        <f t="shared" ref="P7:P8" si="6">-LOG($M$1)+LOG(J4/H4)</f>
        <v>6.605548319173784</v>
      </c>
    </row>
    <row r="8" spans="2:18" ht="43.2" x14ac:dyDescent="0.3">
      <c r="B8" s="2" t="s">
        <v>21</v>
      </c>
      <c r="C8" s="4" t="s">
        <v>22</v>
      </c>
      <c r="D8" s="4" t="s">
        <v>23</v>
      </c>
      <c r="E8" s="4" t="s">
        <v>24</v>
      </c>
      <c r="F8" s="4" t="s">
        <v>25</v>
      </c>
      <c r="H8" s="2"/>
      <c r="P8" s="3">
        <f t="shared" si="6"/>
        <v>6.9645702618154521</v>
      </c>
    </row>
    <row r="9" spans="2:18" x14ac:dyDescent="0.3">
      <c r="B9" s="2">
        <v>1</v>
      </c>
      <c r="C9" s="2">
        <v>10</v>
      </c>
      <c r="D9" s="2">
        <v>10</v>
      </c>
      <c r="E9" s="2">
        <v>10</v>
      </c>
      <c r="F9" s="2">
        <v>4</v>
      </c>
      <c r="H9" s="2"/>
    </row>
    <row r="10" spans="2:18" x14ac:dyDescent="0.3">
      <c r="B10" s="2">
        <v>2</v>
      </c>
      <c r="C10" s="2">
        <v>10</v>
      </c>
      <c r="D10" s="2">
        <v>10</v>
      </c>
      <c r="E10" s="2">
        <v>16</v>
      </c>
      <c r="F10" s="2">
        <v>4</v>
      </c>
      <c r="H10" s="2"/>
    </row>
    <row r="11" spans="2:18" x14ac:dyDescent="0.3">
      <c r="B11" s="2">
        <v>3</v>
      </c>
      <c r="C11" s="2">
        <v>10</v>
      </c>
      <c r="D11" s="2">
        <v>10</v>
      </c>
      <c r="E11" s="2">
        <v>14</v>
      </c>
      <c r="F11" s="2">
        <v>8</v>
      </c>
      <c r="H11" s="2"/>
    </row>
    <row r="13" spans="2:18" ht="28.8" x14ac:dyDescent="0.3">
      <c r="B13" s="5" t="s">
        <v>21</v>
      </c>
      <c r="C13" s="6" t="s">
        <v>26</v>
      </c>
      <c r="D13" s="6" t="s">
        <v>27</v>
      </c>
      <c r="E13" s="6" t="s">
        <v>28</v>
      </c>
      <c r="F13" s="6" t="s">
        <v>29</v>
      </c>
      <c r="G13" s="6" t="s">
        <v>30</v>
      </c>
    </row>
    <row r="14" spans="2:18" x14ac:dyDescent="0.3">
      <c r="B14" s="2">
        <v>1</v>
      </c>
      <c r="C14" s="8">
        <v>8.0000000000000002E-3</v>
      </c>
      <c r="D14" s="8">
        <v>7.9415019762845845E-3</v>
      </c>
      <c r="E14" s="8">
        <v>0.2</v>
      </c>
      <c r="F14" s="8">
        <v>0.08</v>
      </c>
      <c r="G14" s="8">
        <f>F14</f>
        <v>0.08</v>
      </c>
      <c r="H14">
        <v>3.9707509881422898E-4</v>
      </c>
    </row>
    <row r="15" spans="2:18" x14ac:dyDescent="0.3">
      <c r="B15" s="2">
        <v>2</v>
      </c>
      <c r="C15" s="8">
        <v>8.0000000000000002E-3</v>
      </c>
      <c r="D15" s="8">
        <v>7.9415019762845845E-3</v>
      </c>
      <c r="E15" s="8">
        <v>0.32</v>
      </c>
      <c r="F15" s="8">
        <v>0.08</v>
      </c>
      <c r="G15" s="8">
        <f t="shared" ref="G15:G16" si="7">F15</f>
        <v>0.08</v>
      </c>
      <c r="H15">
        <v>3.9707509881422925E-4</v>
      </c>
    </row>
    <row r="16" spans="2:18" x14ac:dyDescent="0.3">
      <c r="B16" s="2">
        <v>3</v>
      </c>
      <c r="C16" s="8">
        <v>8.0000000000000002E-3</v>
      </c>
      <c r="D16" s="8">
        <v>7.9415019762845845E-3</v>
      </c>
      <c r="E16" s="8">
        <v>0.28000000000000003</v>
      </c>
      <c r="F16" s="8">
        <v>0.16</v>
      </c>
      <c r="G16" s="8">
        <f t="shared" si="7"/>
        <v>0.16</v>
      </c>
      <c r="H16">
        <v>3.9707509881422925E-4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57B1-7CE5-4F3D-A900-AAFC3F8AFD2C}">
  <dimension ref="B1:L14"/>
  <sheetViews>
    <sheetView workbookViewId="0">
      <selection activeCell="H19" sqref="H19"/>
    </sheetView>
  </sheetViews>
  <sheetFormatPr defaultRowHeight="14.4" x14ac:dyDescent="0.3"/>
  <cols>
    <col min="2" max="2" width="10.88671875" bestFit="1" customWidth="1"/>
    <col min="3" max="3" width="11.5546875" bestFit="1" customWidth="1"/>
    <col min="4" max="4" width="12.33203125" bestFit="1" customWidth="1"/>
    <col min="6" max="6" width="10.88671875" bestFit="1" customWidth="1"/>
    <col min="7" max="7" width="11.5546875" bestFit="1" customWidth="1"/>
    <col min="8" max="8" width="12.33203125" bestFit="1" customWidth="1"/>
    <col min="10" max="10" width="10.88671875" bestFit="1" customWidth="1"/>
    <col min="11" max="11" width="11.5546875" bestFit="1" customWidth="1"/>
    <col min="12" max="12" width="12.33203125" bestFit="1" customWidth="1"/>
  </cols>
  <sheetData>
    <row r="1" spans="2:12" x14ac:dyDescent="0.3">
      <c r="B1" s="9" t="s">
        <v>31</v>
      </c>
      <c r="C1" s="9"/>
      <c r="D1" s="9"/>
      <c r="E1" s="5"/>
      <c r="F1" s="9" t="s">
        <v>32</v>
      </c>
      <c r="G1" s="9"/>
      <c r="H1" s="9"/>
      <c r="I1" s="5"/>
      <c r="J1" s="9" t="s">
        <v>33</v>
      </c>
      <c r="K1" s="9"/>
      <c r="L1" s="9"/>
    </row>
    <row r="2" spans="2:12" x14ac:dyDescent="0.3">
      <c r="B2" s="5" t="s">
        <v>34</v>
      </c>
      <c r="C2" s="5" t="s">
        <v>2</v>
      </c>
      <c r="D2" s="5" t="s">
        <v>3</v>
      </c>
      <c r="E2" s="5"/>
      <c r="F2" s="5" t="s">
        <v>34</v>
      </c>
      <c r="G2" s="5" t="s">
        <v>2</v>
      </c>
      <c r="H2" s="5" t="s">
        <v>3</v>
      </c>
      <c r="I2" s="5"/>
      <c r="J2" s="5" t="s">
        <v>34</v>
      </c>
      <c r="K2" s="5" t="s">
        <v>2</v>
      </c>
      <c r="L2" s="5" t="s">
        <v>3</v>
      </c>
    </row>
    <row r="3" spans="2:12" x14ac:dyDescent="0.3">
      <c r="B3" s="10">
        <v>1.1719999999999999</v>
      </c>
      <c r="C3" s="11">
        <v>391</v>
      </c>
      <c r="D3" s="10">
        <f>1/B3</f>
        <v>0.85324232081911267</v>
      </c>
      <c r="E3" s="10"/>
      <c r="F3" s="10">
        <v>1.1628000000000001</v>
      </c>
      <c r="G3" s="11">
        <f>7*60+17</f>
        <v>437</v>
      </c>
      <c r="H3" s="10">
        <f>1/F3</f>
        <v>0.85999312005503947</v>
      </c>
      <c r="I3" s="10"/>
      <c r="J3" s="10">
        <v>1.1456</v>
      </c>
      <c r="K3" s="11">
        <v>391</v>
      </c>
      <c r="L3" s="10">
        <f>1/J3</f>
        <v>0.87290502793296088</v>
      </c>
    </row>
    <row r="4" spans="2:12" x14ac:dyDescent="0.3">
      <c r="B4" s="10">
        <v>1.1551</v>
      </c>
      <c r="C4" s="11">
        <f>10*60</f>
        <v>600</v>
      </c>
      <c r="D4" s="10">
        <f t="shared" ref="D4:D14" si="0">1/B4</f>
        <v>0.86572591117652153</v>
      </c>
      <c r="E4" s="10"/>
      <c r="F4" s="10">
        <v>1.1405000000000001</v>
      </c>
      <c r="G4" s="11">
        <f>10*60+50</f>
        <v>650</v>
      </c>
      <c r="H4" s="10">
        <f t="shared" ref="H4:H14" si="1">1/F4</f>
        <v>0.87680841736080661</v>
      </c>
      <c r="I4" s="10"/>
      <c r="J4" s="10">
        <v>1.0980000000000001</v>
      </c>
      <c r="K4" s="11">
        <f>10*60</f>
        <v>600</v>
      </c>
      <c r="L4" s="10">
        <f t="shared" ref="L4:L14" si="2">1/J4</f>
        <v>0.91074681238615662</v>
      </c>
    </row>
    <row r="5" spans="2:12" x14ac:dyDescent="0.3">
      <c r="B5" s="10">
        <v>1.1294999999999999</v>
      </c>
      <c r="C5" s="11">
        <f>15*60+28</f>
        <v>928</v>
      </c>
      <c r="D5" s="10">
        <f t="shared" si="0"/>
        <v>0.88534749889331565</v>
      </c>
      <c r="E5" s="10"/>
      <c r="F5" s="10">
        <v>1.1158999999999999</v>
      </c>
      <c r="G5" s="11">
        <f>15*60+24</f>
        <v>924</v>
      </c>
      <c r="H5" s="10">
        <f t="shared" si="1"/>
        <v>0.89613764674253971</v>
      </c>
      <c r="I5" s="10"/>
      <c r="J5" s="10">
        <v>1.0606</v>
      </c>
      <c r="K5" s="11">
        <f>15*60+28</f>
        <v>928</v>
      </c>
      <c r="L5" s="10">
        <f t="shared" si="2"/>
        <v>0.94286253064303227</v>
      </c>
    </row>
    <row r="6" spans="2:12" x14ac:dyDescent="0.3">
      <c r="B6" s="10">
        <v>1.1091</v>
      </c>
      <c r="C6" s="11">
        <v>1200</v>
      </c>
      <c r="D6" s="10">
        <f t="shared" si="0"/>
        <v>0.90163195383644401</v>
      </c>
      <c r="E6" s="10"/>
      <c r="F6" s="10">
        <v>1.0956999999999999</v>
      </c>
      <c r="G6" s="11">
        <f>20*60</f>
        <v>1200</v>
      </c>
      <c r="H6" s="10">
        <f t="shared" si="1"/>
        <v>0.9126585744273068</v>
      </c>
      <c r="I6" s="10"/>
      <c r="J6" s="10">
        <v>1.0229999999999999</v>
      </c>
      <c r="K6" s="11">
        <v>1200</v>
      </c>
      <c r="L6" s="10">
        <f t="shared" si="2"/>
        <v>0.97751710654936474</v>
      </c>
    </row>
    <row r="7" spans="2:12" x14ac:dyDescent="0.3">
      <c r="B7" s="10">
        <v>1.0848</v>
      </c>
      <c r="C7" s="11">
        <v>1500</v>
      </c>
      <c r="D7" s="10">
        <f t="shared" si="0"/>
        <v>0.92182890855457233</v>
      </c>
      <c r="E7" s="10"/>
      <c r="F7" s="10">
        <v>1.0733999999999999</v>
      </c>
      <c r="G7" s="11">
        <f>25*60</f>
        <v>1500</v>
      </c>
      <c r="H7" s="10">
        <f t="shared" si="1"/>
        <v>0.93161915408980811</v>
      </c>
      <c r="I7" s="10"/>
      <c r="J7" s="10">
        <v>0.98119999999999996</v>
      </c>
      <c r="K7" s="11">
        <v>1500</v>
      </c>
      <c r="L7" s="10">
        <f t="shared" si="2"/>
        <v>1.019160211985324</v>
      </c>
    </row>
    <row r="8" spans="2:12" x14ac:dyDescent="0.3">
      <c r="B8" s="10">
        <v>1.0620000000000001</v>
      </c>
      <c r="C8" s="11">
        <v>1800</v>
      </c>
      <c r="D8" s="10">
        <f t="shared" si="0"/>
        <v>0.94161958568738224</v>
      </c>
      <c r="E8" s="10"/>
      <c r="F8" s="10">
        <v>1.0513999999999999</v>
      </c>
      <c r="G8" s="11">
        <v>1800</v>
      </c>
      <c r="H8" s="10">
        <f t="shared" si="1"/>
        <v>0.95111280197831471</v>
      </c>
      <c r="I8" s="10"/>
      <c r="J8" s="10">
        <v>0.9486</v>
      </c>
      <c r="K8" s="11">
        <v>1800</v>
      </c>
      <c r="L8" s="10">
        <f t="shared" si="2"/>
        <v>1.0541851149061776</v>
      </c>
    </row>
    <row r="9" spans="2:12" x14ac:dyDescent="0.3">
      <c r="B9" s="10">
        <v>1.0398000000000001</v>
      </c>
      <c r="C9" s="11">
        <v>2100</v>
      </c>
      <c r="D9" s="10">
        <f t="shared" si="0"/>
        <v>0.96172340834775916</v>
      </c>
      <c r="E9" s="10"/>
      <c r="F9" s="10">
        <v>1.0301</v>
      </c>
      <c r="G9" s="11">
        <v>2100</v>
      </c>
      <c r="H9" s="10">
        <f t="shared" si="1"/>
        <v>0.97077953596738176</v>
      </c>
      <c r="I9" s="10"/>
      <c r="J9" s="10">
        <v>0.91790000000000005</v>
      </c>
      <c r="K9" s="11">
        <v>2100</v>
      </c>
      <c r="L9" s="10">
        <f t="shared" si="2"/>
        <v>1.0894432944765224</v>
      </c>
    </row>
    <row r="10" spans="2:12" x14ac:dyDescent="0.3">
      <c r="B10" s="10">
        <v>1.0205</v>
      </c>
      <c r="C10" s="11">
        <v>2400</v>
      </c>
      <c r="D10" s="10">
        <f t="shared" si="0"/>
        <v>0.97991180793728572</v>
      </c>
      <c r="E10" s="10"/>
      <c r="F10" s="10">
        <v>1.0093000000000001</v>
      </c>
      <c r="G10" s="11">
        <v>2400</v>
      </c>
      <c r="H10" s="10">
        <f t="shared" si="1"/>
        <v>0.99078569305459219</v>
      </c>
      <c r="I10" s="10"/>
      <c r="J10" s="10">
        <v>0.89039999999999997</v>
      </c>
      <c r="K10" s="11">
        <v>2400</v>
      </c>
      <c r="L10" s="10">
        <f t="shared" si="2"/>
        <v>1.1230907457322552</v>
      </c>
    </row>
    <row r="11" spans="2:12" x14ac:dyDescent="0.3">
      <c r="B11" s="10">
        <v>1.0026999999999999</v>
      </c>
      <c r="C11" s="11">
        <v>2700</v>
      </c>
      <c r="D11" s="10">
        <f t="shared" si="0"/>
        <v>0.99730727037000111</v>
      </c>
      <c r="E11" s="10"/>
      <c r="F11" s="10">
        <v>0.99080000000000001</v>
      </c>
      <c r="G11" s="11">
        <v>2700</v>
      </c>
      <c r="H11" s="10">
        <f t="shared" si="1"/>
        <v>1.0092854259184498</v>
      </c>
      <c r="I11" s="10"/>
      <c r="J11" s="10">
        <v>0.86370000000000002</v>
      </c>
      <c r="K11" s="11">
        <v>2700</v>
      </c>
      <c r="L11" s="10">
        <f t="shared" si="2"/>
        <v>1.1578094245687161</v>
      </c>
    </row>
    <row r="12" spans="2:12" x14ac:dyDescent="0.3">
      <c r="B12" s="10">
        <v>0.98340000000000005</v>
      </c>
      <c r="C12" s="11">
        <v>3000</v>
      </c>
      <c r="D12" s="10">
        <f t="shared" si="0"/>
        <v>1.016880211511084</v>
      </c>
      <c r="E12" s="10"/>
      <c r="F12" s="10">
        <v>0.97119999999999995</v>
      </c>
      <c r="G12" s="11">
        <v>3000</v>
      </c>
      <c r="H12" s="10">
        <f t="shared" si="1"/>
        <v>1.0296540362438222</v>
      </c>
      <c r="I12" s="10"/>
      <c r="J12" s="10">
        <v>0.84030000000000005</v>
      </c>
      <c r="K12" s="11">
        <v>3000</v>
      </c>
      <c r="L12" s="10">
        <f t="shared" si="2"/>
        <v>1.1900511722004046</v>
      </c>
    </row>
    <row r="13" spans="2:12" x14ac:dyDescent="0.3">
      <c r="B13" s="10">
        <v>0.96540000000000004</v>
      </c>
      <c r="C13" s="11">
        <v>3300</v>
      </c>
      <c r="D13" s="10">
        <f t="shared" si="0"/>
        <v>1.0358400662937641</v>
      </c>
      <c r="E13" s="10"/>
      <c r="F13" s="10">
        <v>0.95389999999999997</v>
      </c>
      <c r="G13" s="11">
        <v>3300</v>
      </c>
      <c r="H13" s="10">
        <f t="shared" si="1"/>
        <v>1.0483279169724291</v>
      </c>
      <c r="I13" s="10"/>
      <c r="J13" s="10">
        <v>0.81769999999999998</v>
      </c>
      <c r="K13" s="11">
        <v>3300</v>
      </c>
      <c r="L13" s="10">
        <f t="shared" si="2"/>
        <v>1.2229423994129878</v>
      </c>
    </row>
    <row r="14" spans="2:12" x14ac:dyDescent="0.3">
      <c r="B14" s="10">
        <v>0.94930000000000003</v>
      </c>
      <c r="C14" s="11">
        <v>3600</v>
      </c>
      <c r="D14" s="10">
        <f t="shared" si="0"/>
        <v>1.0534077741493733</v>
      </c>
      <c r="E14" s="10"/>
      <c r="F14" s="10">
        <v>0.93630000000000002</v>
      </c>
      <c r="G14" s="11">
        <v>3600</v>
      </c>
      <c r="H14" s="10">
        <f t="shared" si="1"/>
        <v>1.0680337498664958</v>
      </c>
      <c r="I14" s="10"/>
      <c r="J14" s="10">
        <v>0.79720000000000002</v>
      </c>
      <c r="K14" s="11">
        <v>3600</v>
      </c>
      <c r="L14" s="10">
        <f t="shared" si="2"/>
        <v>1.2543903662819869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A9CA-D300-477A-A6B9-C2E45E248019}">
  <dimension ref="B2:H5"/>
  <sheetViews>
    <sheetView tabSelected="1" workbookViewId="0">
      <selection activeCell="E16" sqref="E16"/>
    </sheetView>
  </sheetViews>
  <sheetFormatPr defaultRowHeight="14.4" x14ac:dyDescent="0.3"/>
  <cols>
    <col min="2" max="2" width="9.5546875" bestFit="1" customWidth="1"/>
    <col min="7" max="7" width="17.88671875" bestFit="1" customWidth="1"/>
  </cols>
  <sheetData>
    <row r="2" spans="2:8" x14ac:dyDescent="0.3">
      <c r="B2" s="2" t="s">
        <v>20</v>
      </c>
      <c r="C2" s="2" t="s">
        <v>35</v>
      </c>
      <c r="D2" s="2" t="s">
        <v>37</v>
      </c>
      <c r="E2" s="2" t="s">
        <v>36</v>
      </c>
      <c r="F2" s="2" t="s">
        <v>38</v>
      </c>
      <c r="G2" s="2" t="s">
        <v>39</v>
      </c>
    </row>
    <row r="3" spans="2:8" x14ac:dyDescent="0.3">
      <c r="B3" s="7">
        <v>6.8096683018297099</v>
      </c>
      <c r="C3" s="12">
        <v>6.3E-5</v>
      </c>
      <c r="D3" s="2">
        <v>0.8</v>
      </c>
      <c r="E3" s="12">
        <f>C3*148.8</f>
        <v>9.3744000000000015E-3</v>
      </c>
      <c r="F3" s="2">
        <v>23</v>
      </c>
      <c r="G3" s="12">
        <f>E3*0.008^2</f>
        <v>5.9996160000000012E-7</v>
      </c>
      <c r="H3" s="3"/>
    </row>
    <row r="4" spans="2:8" x14ac:dyDescent="0.3">
      <c r="B4" s="7">
        <v>6.605548319173784</v>
      </c>
      <c r="C4" s="12">
        <v>6.4999999999999994E-5</v>
      </c>
      <c r="D4" s="2">
        <v>0.8</v>
      </c>
      <c r="E4" s="12">
        <f>C4*148.8</f>
        <v>9.672E-3</v>
      </c>
      <c r="F4" s="2">
        <v>23</v>
      </c>
      <c r="G4" s="12">
        <f t="shared" ref="G4:G5" si="0">E4*0.008^2</f>
        <v>6.1900799999999993E-7</v>
      </c>
      <c r="H4" s="3"/>
    </row>
    <row r="5" spans="2:8" x14ac:dyDescent="0.3">
      <c r="B5" s="7">
        <v>6.9645702618154521</v>
      </c>
      <c r="C5" s="12">
        <v>1.2E-4</v>
      </c>
      <c r="D5" s="2">
        <v>0.8</v>
      </c>
      <c r="E5" s="12">
        <f t="shared" ref="E4:E5" si="1">C5*148.8</f>
        <v>1.7856E-2</v>
      </c>
      <c r="F5" s="2">
        <v>23</v>
      </c>
      <c r="G5" s="12">
        <f t="shared" si="0"/>
        <v>1.1427839999999999E-6</v>
      </c>
      <c r="H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Solution_1</vt:lpstr>
      <vt:lpstr>Solution_2</vt:lpstr>
      <vt:lpstr>Solution_3</vt:lpstr>
      <vt:lpstr>Concentrations</vt:lpstr>
      <vt:lpstr>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2019-09-22T01:50:24Z</dcterms:created>
  <dcterms:modified xsi:type="dcterms:W3CDTF">2019-09-24T20:07:03Z</dcterms:modified>
</cp:coreProperties>
</file>