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Знания\учебный склад\4 курс\Курсач\"/>
    </mc:Choice>
  </mc:AlternateContent>
  <xr:revisionPtr revIDLastSave="0" documentId="13_ncr:1_{1B9F39F3-A8E6-4BC3-93AF-B660E31BD961}" xr6:coauthVersionLast="46" xr6:coauthVersionMax="46" xr10:uidLastSave="{00000000-0000-0000-0000-000000000000}"/>
  <bookViews>
    <workbookView xWindow="19470" yWindow="2025" windowWidth="14865" windowHeight="11775" xr2:uid="{F41D39F4-3BE7-423C-BBC5-20A543100AE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D23" i="1"/>
  <c r="C23" i="1"/>
  <c r="B23" i="1"/>
  <c r="B20" i="1"/>
  <c r="E20" i="1"/>
  <c r="D20" i="1"/>
  <c r="W8" i="1"/>
  <c r="V8" i="1"/>
  <c r="U8" i="1"/>
  <c r="T8" i="1"/>
  <c r="S8" i="1"/>
  <c r="R8" i="1"/>
  <c r="Q8" i="1"/>
  <c r="P8" i="1"/>
  <c r="O8" i="1"/>
  <c r="N8" i="1"/>
  <c r="D3" i="1"/>
  <c r="E17" i="1"/>
  <c r="D17" i="1"/>
  <c r="C17" i="1"/>
  <c r="B17" i="1"/>
  <c r="D12" i="1"/>
  <c r="D11" i="1"/>
  <c r="D10" i="1"/>
  <c r="D9" i="1"/>
  <c r="D8" i="1"/>
  <c r="D7" i="1"/>
  <c r="D6" i="1"/>
  <c r="D5" i="1"/>
  <c r="D4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<sst xmlns="http://schemas.openxmlformats.org/spreadsheetml/2006/main" count="38" uniqueCount="35">
  <si>
    <t>P</t>
  </si>
  <si>
    <t>T</t>
  </si>
  <si>
    <t>S</t>
  </si>
  <si>
    <t>H</t>
  </si>
  <si>
    <t>h</t>
  </si>
  <si>
    <t>b</t>
  </si>
  <si>
    <t>c</t>
  </si>
  <si>
    <t>d</t>
  </si>
  <si>
    <t>e</t>
  </si>
  <si>
    <t>f</t>
  </si>
  <si>
    <t>k</t>
  </si>
  <si>
    <t>k'</t>
  </si>
  <si>
    <t>a</t>
  </si>
  <si>
    <t>g</t>
  </si>
  <si>
    <t>xd</t>
  </si>
  <si>
    <t>n</t>
  </si>
  <si>
    <t>Qэл</t>
  </si>
  <si>
    <t>hвх</t>
  </si>
  <si>
    <t>hвых</t>
  </si>
  <si>
    <t>Nтвс</t>
  </si>
  <si>
    <t>Gтвс</t>
  </si>
  <si>
    <t>Gреак</t>
  </si>
  <si>
    <t>Сp</t>
  </si>
  <si>
    <t>Tвх</t>
  </si>
  <si>
    <t>Tвых</t>
  </si>
  <si>
    <t xml:space="preserve">Распределение температуры </t>
  </si>
  <si>
    <t>290.5</t>
  </si>
  <si>
    <t>Tтн(z)=</t>
  </si>
  <si>
    <t>NвсNев…/...</t>
  </si>
  <si>
    <t>p/Hэф</t>
  </si>
  <si>
    <t>pHaz/2Hef</t>
  </si>
  <si>
    <t>Nтвэл</t>
  </si>
  <si>
    <t>Hef</t>
  </si>
  <si>
    <t>qmax</t>
  </si>
  <si>
    <t>Haz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</si>
</sst>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name val="MonoLisa"/>
    </font>
    <font>
      <sz val="11"/>
      <name val="MonoLisa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0" xfId="0" applyFont="1" applyFill="1"/>
    <xf numFmtId="0" fontId="2" fillId="0" borderId="0" xfId="0" applyFont="1" applyFill="1" applyBorder="1"/>
    <xf numFmtId="2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1" fillId="0" borderId="2" xfId="0" applyFont="1" applyFill="1" applyBorder="1"/>
    <xf numFmtId="0" fontId="2" fillId="0" borderId="2" xfId="0" applyFont="1" applyFill="1" applyBorder="1"/>
    <xf numFmtId="17" fontId="1" fillId="0" borderId="0" xfId="0" applyNumberFormat="1" applyFont="1" applyFill="1"/>
    <xf numFmtId="2" fontId="1" fillId="0" borderId="0" xfId="0" applyNumberFormat="1" applyFont="1" applyFill="1"/>
    <xf numFmtId="16" fontId="1" fillId="0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2957609639463054E-2"/>
          <c:y val="7.4911490593706234E-2"/>
          <c:w val="0.87963256453411198"/>
          <c:h val="0.81190844203442802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Лист1!$M$8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Лист1!$N$7:$W$7</c:f>
              <c:numCache>
                <c:formatCode>General</c:formatCode>
                <c:ptCount val="10"/>
                <c:pt idx="0">
                  <c:v>2517</c:v>
                </c:pt>
                <c:pt idx="1">
                  <c:v>3076</c:v>
                </c:pt>
                <c:pt idx="2">
                  <c:v>5852</c:v>
                </c:pt>
                <c:pt idx="3">
                  <c:v>5852</c:v>
                </c:pt>
                <c:pt idx="4">
                  <c:v>6543</c:v>
                </c:pt>
                <c:pt idx="5">
                  <c:v>6863</c:v>
                </c:pt>
                <c:pt idx="6">
                  <c:v>6863</c:v>
                </c:pt>
                <c:pt idx="7">
                  <c:v>295.2</c:v>
                </c:pt>
                <c:pt idx="8">
                  <c:v>295.2</c:v>
                </c:pt>
                <c:pt idx="9">
                  <c:v>2188</c:v>
                </c:pt>
              </c:numCache>
            </c:numRef>
          </c:xVal>
          <c:yVal>
            <c:numRef>
              <c:f>Лист1!$N$8:$W$8</c:f>
              <c:numCache>
                <c:formatCode>General</c:formatCode>
                <c:ptCount val="10"/>
                <c:pt idx="0">
                  <c:v>220</c:v>
                </c:pt>
                <c:pt idx="1">
                  <c:v>281</c:v>
                </c:pt>
                <c:pt idx="2">
                  <c:v>281</c:v>
                </c:pt>
                <c:pt idx="3">
                  <c:v>185</c:v>
                </c:pt>
                <c:pt idx="4">
                  <c:v>185</c:v>
                </c:pt>
                <c:pt idx="5">
                  <c:v>250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9-4A88-AC68-FD08131F6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090112"/>
        <c:axId val="1911087616"/>
      </c:scatterChart>
      <c:valAx>
        <c:axId val="19110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1087616"/>
        <c:crosses val="autoZero"/>
        <c:crossBetween val="midCat"/>
      </c:valAx>
      <c:valAx>
        <c:axId val="19110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109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593355</xdr:colOff>
      <xdr:row>13</xdr:row>
      <xdr:rowOff>0</xdr:rowOff>
    </xdr:from>
    <xdr:ext cx="64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929950A-5D99-4964-976C-FD4894E9527B}"/>
            </a:ext>
          </a:extLst>
        </xdr:cNvPr>
        <xdr:cNvSpPr txBox="1"/>
      </xdr:nvSpPr>
      <xdr:spPr>
        <a:xfrm>
          <a:off x="4250955" y="2377440"/>
          <a:ext cx="64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ctr"/>
          <a:endParaRPr lang="ru-RU" sz="1100"/>
        </a:p>
      </xdr:txBody>
    </xdr:sp>
    <xdr:clientData/>
  </xdr:oneCellAnchor>
  <xdr:oneCellAnchor>
    <xdr:from>
      <xdr:col>6</xdr:col>
      <xdr:colOff>60007</xdr:colOff>
      <xdr:row>19</xdr:row>
      <xdr:rowOff>91440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FC6A3B-EF53-4054-A4E0-D7D1FB74DFB7}"/>
            </a:ext>
          </a:extLst>
        </xdr:cNvPr>
        <xdr:cNvSpPr txBox="1"/>
      </xdr:nvSpPr>
      <xdr:spPr>
        <a:xfrm>
          <a:off x="3717607" y="36347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209312</xdr:colOff>
      <xdr:row>14</xdr:row>
      <xdr:rowOff>151210</xdr:rowOff>
    </xdr:from>
    <xdr:ext cx="225190" cy="1872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ABBC57A-A992-4ED0-BF6F-03574ADA493A}"/>
                </a:ext>
              </a:extLst>
            </xdr:cNvPr>
            <xdr:cNvSpPr txBox="1"/>
          </xdr:nvSpPr>
          <xdr:spPr>
            <a:xfrm>
              <a:off x="816531" y="2782491"/>
              <a:ext cx="225190" cy="187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ABBC57A-A992-4ED0-BF6F-03574ADA493A}"/>
                </a:ext>
              </a:extLst>
            </xdr:cNvPr>
            <xdr:cNvSpPr txBox="1"/>
          </xdr:nvSpPr>
          <xdr:spPr>
            <a:xfrm>
              <a:off x="816531" y="2782491"/>
              <a:ext cx="225190" cy="187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〖𝜂_𝑡〗_0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168831</xdr:colOff>
      <xdr:row>14</xdr:row>
      <xdr:rowOff>148828</xdr:rowOff>
    </xdr:from>
    <xdr:ext cx="260776" cy="186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0004410-D6BC-4E4D-B50F-B54E9F48BA9E}"/>
                </a:ext>
              </a:extLst>
            </xdr:cNvPr>
            <xdr:cNvSpPr txBox="1"/>
          </xdr:nvSpPr>
          <xdr:spPr>
            <a:xfrm>
              <a:off x="1383269" y="2780109"/>
              <a:ext cx="260776" cy="186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∞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0004410-D6BC-4E4D-B50F-B54E9F48BA9E}"/>
                </a:ext>
              </a:extLst>
            </xdr:cNvPr>
            <xdr:cNvSpPr txBox="1"/>
          </xdr:nvSpPr>
          <xdr:spPr>
            <a:xfrm>
              <a:off x="1383269" y="2780109"/>
              <a:ext cx="260776" cy="186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〖𝜂_𝑡〗_</a:t>
              </a:r>
              <a:r>
                <a:rPr lang="ru-RU" sz="1100" b="0" i="0">
                  <a:latin typeface="Cambria Math" panose="02040503050406030204" pitchFamily="18" charset="0"/>
                </a:rPr>
                <a:t>∞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3</xdr:col>
      <xdr:colOff>195391</xdr:colOff>
      <xdr:row>14</xdr:row>
      <xdr:rowOff>156155</xdr:rowOff>
    </xdr:from>
    <xdr:ext cx="234230" cy="1871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D0EDC4D-87C8-4995-B9E7-D47A7C7FC144}"/>
                </a:ext>
              </a:extLst>
            </xdr:cNvPr>
            <xdr:cNvSpPr txBox="1"/>
          </xdr:nvSpPr>
          <xdr:spPr>
            <a:xfrm>
              <a:off x="2019795" y="2801174"/>
              <a:ext cx="234230" cy="187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D0EDC4D-87C8-4995-B9E7-D47A7C7FC144}"/>
                </a:ext>
              </a:extLst>
            </xdr:cNvPr>
            <xdr:cNvSpPr txBox="1"/>
          </xdr:nvSpPr>
          <xdr:spPr>
            <a:xfrm>
              <a:off x="2019795" y="2801174"/>
              <a:ext cx="234230" cy="187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〖𝜂_𝑡〗_𝑛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4</xdr:col>
      <xdr:colOff>59991</xdr:colOff>
      <xdr:row>14</xdr:row>
      <xdr:rowOff>173007</xdr:rowOff>
    </xdr:from>
    <xdr:ext cx="436466" cy="1851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9BF22D0-4DF0-4B6D-A43C-1789B12B3A1C}"/>
                </a:ext>
              </a:extLst>
            </xdr:cNvPr>
            <xdr:cNvSpPr txBox="1"/>
          </xdr:nvSpPr>
          <xdr:spPr>
            <a:xfrm>
              <a:off x="2492529" y="2818026"/>
              <a:ext cx="436466" cy="185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𝜂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брутто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9BF22D0-4DF0-4B6D-A43C-1789B12B3A1C}"/>
                </a:ext>
              </a:extLst>
            </xdr:cNvPr>
            <xdr:cNvSpPr txBox="1"/>
          </xdr:nvSpPr>
          <xdr:spPr>
            <a:xfrm>
              <a:off x="2492529" y="2818026"/>
              <a:ext cx="436466" cy="185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𝜂_</a:t>
              </a:r>
              <a:r>
                <a:rPr lang="ru-RU" sz="1100" b="0" i="0">
                  <a:latin typeface="Cambria Math" panose="02040503050406030204" pitchFamily="18" charset="0"/>
                </a:rPr>
                <a:t>брутто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1</xdr:col>
      <xdr:colOff>151430</xdr:colOff>
      <xdr:row>17</xdr:row>
      <xdr:rowOff>143113</xdr:rowOff>
    </xdr:from>
    <xdr:ext cx="374077" cy="1818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FCBEAA16-6FFD-4B8C-AB16-4351E2048CB3}"/>
                </a:ext>
              </a:extLst>
            </xdr:cNvPr>
            <xdr:cNvSpPr txBox="1"/>
          </xdr:nvSpPr>
          <xdr:spPr>
            <a:xfrm>
              <a:off x="759565" y="3337651"/>
              <a:ext cx="374077" cy="181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d>
                          <m:dPr>
                            <m:begChr m:val="{"/>
                            <m:endChr m:val="}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теп</m:t>
                            </m:r>
                          </m:e>
                        </m:d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FCBEAA16-6FFD-4B8C-AB16-4351E2048CB3}"/>
                </a:ext>
              </a:extLst>
            </xdr:cNvPr>
            <xdr:cNvSpPr txBox="1"/>
          </xdr:nvSpPr>
          <xdr:spPr>
            <a:xfrm>
              <a:off x="759565" y="3337651"/>
              <a:ext cx="374077" cy="181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𝑄_{</a:t>
              </a:r>
              <a:r>
                <a:rPr lang="ru-RU" sz="1100" b="0" i="0">
                  <a:latin typeface="Cambria Math" panose="02040503050406030204" pitchFamily="18" charset="0"/>
                </a:rPr>
                <a:t>теп</a:t>
              </a:r>
              <a:r>
                <a:rPr lang="en-US" sz="1100" b="0" i="0">
                  <a:latin typeface="Cambria Math" panose="02040503050406030204" pitchFamily="18" charset="0"/>
                </a:rPr>
                <a:t>} </a:t>
              </a:r>
              <a:endParaRPr lang="en-US" sz="1100" b="0"/>
            </a:p>
          </xdr:txBody>
        </xdr:sp>
      </mc:Fallback>
    </mc:AlternateContent>
    <xdr:clientData/>
  </xdr:oneCellAnchor>
  <xdr:twoCellAnchor>
    <xdr:from>
      <xdr:col>9</xdr:col>
      <xdr:colOff>472956</xdr:colOff>
      <xdr:row>9</xdr:row>
      <xdr:rowOff>32837</xdr:rowOff>
    </xdr:from>
    <xdr:to>
      <xdr:col>22</xdr:col>
      <xdr:colOff>570744</xdr:colOff>
      <xdr:row>35</xdr:row>
      <xdr:rowOff>145677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730999C4-0991-4101-80B5-41CBD0154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бычная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AFD2-E7A1-473C-A080-D2C9DD88E143}">
  <dimension ref="A1:W47"/>
  <sheetViews>
    <sheetView tabSelected="1" topLeftCell="A16" zoomScale="145" zoomScaleNormal="145" workbookViewId="0">
      <selection activeCell="B23" sqref="B23"/>
    </sheetView>
  </sheetViews>
  <sheetFormatPr defaultRowHeight="15" x14ac:dyDescent="0.25"/>
  <cols>
    <col min="2" max="2" width="13.28515625" bestFit="1" customWidth="1"/>
    <col min="6" max="6" width="10.28515625" bestFit="1" customWidth="1"/>
  </cols>
  <sheetData>
    <row r="1" spans="1:23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"/>
      <c r="O1" s="1"/>
      <c r="P1" s="1"/>
    </row>
    <row r="2" spans="1:23" ht="15.75" x14ac:dyDescent="0.3">
      <c r="A2" s="3"/>
      <c r="B2" s="3"/>
      <c r="C2" s="4" t="s">
        <v>0</v>
      </c>
      <c r="D2" s="4" t="s">
        <v>1</v>
      </c>
      <c r="E2" s="4" t="s">
        <v>2</v>
      </c>
      <c r="F2" s="4" t="s">
        <v>3</v>
      </c>
      <c r="G2" s="3"/>
      <c r="H2" s="3"/>
      <c r="I2" s="3"/>
      <c r="J2" s="3"/>
      <c r="K2" s="3"/>
      <c r="L2" s="3"/>
      <c r="M2" s="3"/>
      <c r="N2" s="1"/>
      <c r="O2" s="1"/>
      <c r="P2" s="1"/>
    </row>
    <row r="3" spans="1:23" ht="15.75" x14ac:dyDescent="0.3">
      <c r="A3" s="3"/>
      <c r="B3" s="4" t="s">
        <v>4</v>
      </c>
      <c r="C3" s="5">
        <v>2.6</v>
      </c>
      <c r="D3" s="6">
        <f>220+273</f>
        <v>493</v>
      </c>
      <c r="E3" s="6">
        <v>2517</v>
      </c>
      <c r="F3" s="6">
        <f>943.7*10^(3)</f>
        <v>943700</v>
      </c>
      <c r="G3" s="3"/>
      <c r="H3" s="9" t="s">
        <v>14</v>
      </c>
      <c r="I3" s="9" t="s">
        <v>15</v>
      </c>
      <c r="J3" s="9" t="s">
        <v>16</v>
      </c>
      <c r="K3" s="3"/>
      <c r="L3" s="3"/>
      <c r="M3" s="3"/>
      <c r="N3" s="1"/>
      <c r="O3" s="1"/>
      <c r="P3" s="1"/>
    </row>
    <row r="4" spans="1:23" ht="15.75" x14ac:dyDescent="0.3">
      <c r="A4" s="3"/>
      <c r="B4" s="4" t="s">
        <v>5</v>
      </c>
      <c r="C4" s="7">
        <v>6.5</v>
      </c>
      <c r="D4" s="6">
        <f>281+273</f>
        <v>554</v>
      </c>
      <c r="E4" s="6">
        <v>3076</v>
      </c>
      <c r="F4" s="6">
        <f>2780*10^3</f>
        <v>2780000</v>
      </c>
      <c r="G4" s="3"/>
      <c r="H4" s="9">
        <v>0.8</v>
      </c>
      <c r="I4" s="9">
        <v>7</v>
      </c>
      <c r="J4" s="9">
        <v>1000</v>
      </c>
      <c r="K4" s="3"/>
      <c r="L4" s="3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3" ht="15.75" x14ac:dyDescent="0.3">
      <c r="A5" s="3"/>
      <c r="B5" s="4" t="s">
        <v>6</v>
      </c>
      <c r="C5" s="6">
        <v>6.5</v>
      </c>
      <c r="D5" s="6">
        <f>281+273</f>
        <v>554</v>
      </c>
      <c r="E5" s="6">
        <v>5852</v>
      </c>
      <c r="F5" s="6">
        <f>2779*10^3</f>
        <v>2779000</v>
      </c>
      <c r="G5" s="3"/>
      <c r="H5" s="3"/>
      <c r="I5" s="3"/>
      <c r="J5" s="3"/>
      <c r="K5" s="3"/>
      <c r="L5" s="3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3" ht="15.75" x14ac:dyDescent="0.3">
      <c r="A6" s="3"/>
      <c r="B6" s="4" t="s">
        <v>7</v>
      </c>
      <c r="C6" s="6">
        <v>1.1299999999999999</v>
      </c>
      <c r="D6" s="6">
        <f>185+273</f>
        <v>458</v>
      </c>
      <c r="E6" s="6">
        <v>5852</v>
      </c>
      <c r="F6" s="6">
        <f>10^3*2465</f>
        <v>2465000</v>
      </c>
      <c r="G6" s="3"/>
      <c r="H6" s="3"/>
      <c r="I6" s="3"/>
      <c r="J6" s="3"/>
      <c r="K6" s="3"/>
      <c r="L6" s="3"/>
      <c r="M6" s="3"/>
      <c r="N6" s="1"/>
      <c r="O6" s="1"/>
      <c r="P6" s="1"/>
    </row>
    <row r="7" spans="1:23" ht="15.75" x14ac:dyDescent="0.3">
      <c r="A7" s="3"/>
      <c r="B7" s="4" t="s">
        <v>8</v>
      </c>
      <c r="C7" s="6">
        <v>1.1299999999999999</v>
      </c>
      <c r="D7" s="6">
        <f>185+273</f>
        <v>458</v>
      </c>
      <c r="E7" s="6">
        <v>6543</v>
      </c>
      <c r="F7" s="6">
        <f>2782*10^3</f>
        <v>2782000</v>
      </c>
      <c r="G7" s="3"/>
      <c r="H7" s="3"/>
      <c r="I7" s="3"/>
      <c r="J7" s="3"/>
      <c r="K7" s="3"/>
      <c r="L7" s="3"/>
      <c r="M7" s="10" t="s">
        <v>2</v>
      </c>
      <c r="N7" s="6">
        <v>2517</v>
      </c>
      <c r="O7" s="6">
        <v>3076</v>
      </c>
      <c r="P7" s="6">
        <v>5852</v>
      </c>
      <c r="Q7" s="6">
        <v>5852</v>
      </c>
      <c r="R7" s="6">
        <v>6543</v>
      </c>
      <c r="S7" s="6">
        <v>6863</v>
      </c>
      <c r="T7" s="6">
        <v>6863</v>
      </c>
      <c r="U7" s="6">
        <v>295.2</v>
      </c>
      <c r="V7" s="6">
        <v>295.2</v>
      </c>
      <c r="W7" s="6">
        <v>2188</v>
      </c>
    </row>
    <row r="8" spans="1:23" ht="15.75" x14ac:dyDescent="0.3">
      <c r="A8" s="3"/>
      <c r="B8" s="4" t="s">
        <v>9</v>
      </c>
      <c r="C8" s="6">
        <v>1.1299999999999999</v>
      </c>
      <c r="D8" s="6">
        <f>250+273</f>
        <v>523</v>
      </c>
      <c r="E8" s="6">
        <v>6863</v>
      </c>
      <c r="F8" s="6">
        <f>2938*10^3</f>
        <v>2938000</v>
      </c>
      <c r="G8" s="3"/>
      <c r="H8" s="3"/>
      <c r="I8" s="3"/>
      <c r="J8" s="3"/>
      <c r="K8" s="3"/>
      <c r="L8" s="3"/>
      <c r="M8" s="10" t="s">
        <v>1</v>
      </c>
      <c r="N8" s="6">
        <f>220</f>
        <v>220</v>
      </c>
      <c r="O8" s="6">
        <f>281</f>
        <v>281</v>
      </c>
      <c r="P8" s="6">
        <f>281</f>
        <v>281</v>
      </c>
      <c r="Q8" s="6">
        <f>185</f>
        <v>185</v>
      </c>
      <c r="R8" s="6">
        <f>185</f>
        <v>185</v>
      </c>
      <c r="S8" s="6">
        <f>250</f>
        <v>250</v>
      </c>
      <c r="T8" s="6">
        <f>20</f>
        <v>20</v>
      </c>
      <c r="U8" s="6">
        <f>20</f>
        <v>20</v>
      </c>
      <c r="V8" s="6">
        <f>20</f>
        <v>20</v>
      </c>
      <c r="W8" s="6">
        <f>185</f>
        <v>185</v>
      </c>
    </row>
    <row r="9" spans="1:23" ht="15.75" x14ac:dyDescent="0.3">
      <c r="A9" s="3"/>
      <c r="B9" s="4" t="s">
        <v>10</v>
      </c>
      <c r="C9" s="6">
        <v>2.3E-3</v>
      </c>
      <c r="D9" s="6">
        <f>20+273</f>
        <v>293</v>
      </c>
      <c r="E9" s="6">
        <v>6863</v>
      </c>
      <c r="F9" s="6">
        <f>1998*10^3</f>
        <v>1998000</v>
      </c>
      <c r="G9" s="3"/>
      <c r="H9" s="3"/>
      <c r="I9" s="3"/>
      <c r="J9" s="3"/>
      <c r="K9" s="3"/>
      <c r="L9" s="3"/>
    </row>
    <row r="10" spans="1:23" ht="15.75" x14ac:dyDescent="0.3">
      <c r="A10" s="3"/>
      <c r="B10" s="4" t="s">
        <v>11</v>
      </c>
      <c r="C10" s="6">
        <v>2.3E-3</v>
      </c>
      <c r="D10" s="6">
        <f>20+273</f>
        <v>293</v>
      </c>
      <c r="E10" s="6">
        <v>295.2</v>
      </c>
      <c r="F10" s="6">
        <f>83.92*10^3</f>
        <v>83920</v>
      </c>
      <c r="G10" s="3"/>
      <c r="H10" s="3"/>
      <c r="I10" s="3"/>
      <c r="J10" s="3"/>
      <c r="K10" s="3"/>
      <c r="L10" s="3"/>
      <c r="M10" s="3"/>
      <c r="N10" s="1"/>
      <c r="O10" s="1"/>
      <c r="P10" s="1"/>
    </row>
    <row r="11" spans="1:23" ht="15.75" x14ac:dyDescent="0.3">
      <c r="A11" s="3"/>
      <c r="B11" s="4" t="s">
        <v>12</v>
      </c>
      <c r="C11" s="6">
        <v>6.5</v>
      </c>
      <c r="D11" s="6">
        <f>20+273</f>
        <v>293</v>
      </c>
      <c r="E11" s="6">
        <v>295.2</v>
      </c>
      <c r="F11" s="6">
        <f>90*10^3</f>
        <v>90000</v>
      </c>
      <c r="G11" s="3"/>
      <c r="H11" s="3"/>
      <c r="I11" s="3"/>
      <c r="J11" s="3"/>
      <c r="K11" s="3"/>
      <c r="L11" s="3"/>
      <c r="M11" s="3"/>
      <c r="N11" s="1"/>
      <c r="O11" s="1"/>
      <c r="P11" s="1"/>
    </row>
    <row r="12" spans="1:23" ht="15.75" x14ac:dyDescent="0.3">
      <c r="A12" s="3"/>
      <c r="B12" s="8" t="s">
        <v>13</v>
      </c>
      <c r="C12" s="6">
        <v>1.1299999999999999</v>
      </c>
      <c r="D12" s="6">
        <f>185+273</f>
        <v>458</v>
      </c>
      <c r="E12" s="6">
        <v>2188</v>
      </c>
      <c r="F12" s="6">
        <f>785.3*10^3</f>
        <v>785300</v>
      </c>
      <c r="G12" s="3"/>
      <c r="H12" s="3"/>
      <c r="I12" s="3"/>
      <c r="J12" s="3"/>
      <c r="K12" s="3"/>
      <c r="L12" s="3"/>
      <c r="M12" s="3"/>
      <c r="N12" s="1"/>
      <c r="O12" s="1"/>
      <c r="P12" s="1"/>
    </row>
    <row r="13" spans="1:2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"/>
      <c r="O13" s="1"/>
      <c r="P13" s="1"/>
    </row>
    <row r="14" spans="1:2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"/>
      <c r="O14" s="1"/>
      <c r="P14" s="1"/>
    </row>
    <row r="15" spans="1:2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"/>
      <c r="O15" s="1"/>
      <c r="P15" s="1"/>
    </row>
    <row r="16" spans="1:2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"/>
      <c r="O16" s="1"/>
      <c r="P16" s="1"/>
    </row>
    <row r="17" spans="1:16" x14ac:dyDescent="0.25">
      <c r="A17" s="3"/>
      <c r="B17" s="3">
        <f xml:space="preserve"> 1 - (D9*(E8-E11)*H4) / ((F5-F12)+H4*((F12-F11)+(F8-F7)))</f>
        <v>0.4244329093668916</v>
      </c>
      <c r="C17" s="3">
        <f>1 - D9*(E8-E12)*(E5-E3)/((F5-F3)*(E7-E12)+(F8-F7)*(E8-E3))</f>
        <v>0.47314568909169175</v>
      </c>
      <c r="D17" s="3">
        <f>B17+(C17-B17)*I4/(I4+1)</f>
        <v>0.4670565916260917</v>
      </c>
      <c r="E17" s="3">
        <f>D17*0.85*0.98*0.98*0.97</f>
        <v>0.36983866866780235</v>
      </c>
      <c r="F17" s="3"/>
      <c r="G17" s="3"/>
      <c r="H17" s="3"/>
      <c r="I17" s="3"/>
      <c r="J17" s="3"/>
      <c r="K17" s="3"/>
      <c r="L17" s="3"/>
      <c r="M17" s="3"/>
      <c r="N17" s="1"/>
      <c r="O17" s="1"/>
      <c r="P17" s="1"/>
    </row>
    <row r="18" spans="1:1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"/>
      <c r="O18" s="1"/>
      <c r="P18" s="1"/>
    </row>
    <row r="19" spans="1:16" x14ac:dyDescent="0.25">
      <c r="A19" s="3"/>
      <c r="B19" s="3"/>
      <c r="C19" s="3"/>
      <c r="D19" s="3" t="s">
        <v>17</v>
      </c>
      <c r="E19" s="3" t="s">
        <v>18</v>
      </c>
      <c r="F19" s="3" t="s">
        <v>19</v>
      </c>
      <c r="G19" s="3" t="s">
        <v>23</v>
      </c>
      <c r="H19" s="3" t="s">
        <v>24</v>
      </c>
      <c r="I19" s="3"/>
      <c r="J19" s="3"/>
      <c r="K19" s="3"/>
      <c r="L19" s="3"/>
      <c r="M19" s="3"/>
      <c r="N19" s="1"/>
      <c r="O19" s="1"/>
      <c r="P19" s="1"/>
    </row>
    <row r="20" spans="1:16" x14ac:dyDescent="0.25">
      <c r="A20" s="3"/>
      <c r="B20" s="3">
        <f>J4/E17*10^6</f>
        <v>2703881677.9275808</v>
      </c>
      <c r="C20" s="3"/>
      <c r="D20" s="3">
        <f>1268*10^3</f>
        <v>1268000</v>
      </c>
      <c r="E20" s="3">
        <f>1453*10^3</f>
        <v>1453000</v>
      </c>
      <c r="F20" s="3">
        <v>163</v>
      </c>
      <c r="G20" s="3">
        <v>287</v>
      </c>
      <c r="H20" s="3">
        <v>320</v>
      </c>
      <c r="I20" s="3"/>
      <c r="J20" s="3"/>
      <c r="K20" s="3"/>
      <c r="L20" s="3"/>
      <c r="M20" s="3"/>
      <c r="N20" s="1"/>
      <c r="O20" s="1"/>
      <c r="P20" s="1"/>
    </row>
    <row r="21" spans="1:16" x14ac:dyDescent="0.25">
      <c r="A21" s="3"/>
      <c r="B21" s="3"/>
      <c r="C21" s="3"/>
      <c r="D21" s="3"/>
      <c r="E21" s="3"/>
      <c r="F21" s="3" t="s">
        <v>31</v>
      </c>
      <c r="G21" s="3" t="s">
        <v>32</v>
      </c>
      <c r="H21" s="3" t="s">
        <v>33</v>
      </c>
      <c r="I21" s="3" t="s">
        <v>34</v>
      </c>
      <c r="J21" s="3"/>
      <c r="K21" s="3"/>
      <c r="L21" s="3"/>
      <c r="M21" s="3"/>
      <c r="N21" s="1"/>
      <c r="O21" s="1"/>
      <c r="P21" s="1"/>
    </row>
    <row r="22" spans="1:16" x14ac:dyDescent="0.25">
      <c r="A22" s="3"/>
      <c r="B22" s="3" t="s">
        <v>20</v>
      </c>
      <c r="C22" s="3" t="s">
        <v>21</v>
      </c>
      <c r="D22" s="3" t="s">
        <v>22</v>
      </c>
      <c r="E22" s="3"/>
      <c r="F22" s="3">
        <v>317</v>
      </c>
      <c r="G22" s="12">
        <v>2.66</v>
      </c>
      <c r="H22" s="3">
        <f>279.93*10^2</f>
        <v>27993</v>
      </c>
      <c r="I22" s="3">
        <v>3.5</v>
      </c>
      <c r="J22" s="3"/>
      <c r="K22" s="3"/>
      <c r="L22" s="3"/>
      <c r="M22" s="3"/>
      <c r="N22" s="1"/>
      <c r="O22" s="1"/>
      <c r="P22" s="1"/>
    </row>
    <row r="23" spans="1:16" x14ac:dyDescent="0.25">
      <c r="A23" s="3"/>
      <c r="B23" s="3">
        <f>B20/(E20-D20)/F20</f>
        <v>89.666114340161869</v>
      </c>
      <c r="C23" s="3">
        <f>B20/(E20-D20)</f>
        <v>14615.576637446384</v>
      </c>
      <c r="D23" s="3">
        <f>(E20-D20)/(H20-G20)</f>
        <v>5606.060606060606</v>
      </c>
      <c r="E23" s="3"/>
      <c r="F23" s="3"/>
      <c r="G23" s="11"/>
      <c r="H23" s="3"/>
      <c r="I23" s="3"/>
      <c r="J23" s="3"/>
      <c r="K23" s="3"/>
      <c r="L23" s="3"/>
      <c r="M23" s="3"/>
      <c r="N23" s="1"/>
      <c r="O23" s="1"/>
      <c r="P23" s="1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"/>
      <c r="O24" s="1"/>
      <c r="P24" s="1"/>
    </row>
    <row r="25" spans="1:16" x14ac:dyDescent="0.25">
      <c r="A25" s="3"/>
      <c r="B25" s="3" t="s">
        <v>25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1"/>
      <c r="O25" s="1"/>
      <c r="P25" s="1"/>
    </row>
    <row r="26" spans="1:16" x14ac:dyDescent="0.25">
      <c r="A26" s="3" t="s">
        <v>27</v>
      </c>
      <c r="B26" s="3" t="s">
        <v>23</v>
      </c>
      <c r="C26" s="3" t="s">
        <v>28</v>
      </c>
      <c r="D26" s="3"/>
      <c r="E26" s="3" t="s">
        <v>29</v>
      </c>
      <c r="F26" s="3" t="s">
        <v>30</v>
      </c>
      <c r="G26" s="3"/>
      <c r="H26" s="3"/>
      <c r="I26" s="3"/>
      <c r="J26" s="3"/>
      <c r="K26" s="3"/>
      <c r="L26" s="3"/>
      <c r="M26" s="3"/>
      <c r="N26" s="1"/>
      <c r="O26" s="1"/>
      <c r="P26" s="1"/>
    </row>
    <row r="27" spans="1:16" x14ac:dyDescent="0.25">
      <c r="A27" s="3"/>
      <c r="B27" s="3" t="s">
        <v>26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1"/>
      <c r="O27" s="1"/>
      <c r="P27" s="1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1"/>
      <c r="O28" s="1"/>
      <c r="P28" s="1"/>
    </row>
    <row r="29" spans="1:1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1"/>
      <c r="O29" s="1"/>
      <c r="P29" s="1"/>
    </row>
    <row r="30" spans="1:1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1"/>
      <c r="O30" s="1"/>
      <c r="P30" s="1"/>
    </row>
    <row r="31" spans="1:16" x14ac:dyDescent="0.25">
      <c r="A31" s="3"/>
      <c r="B31" s="3"/>
      <c r="C31" s="3"/>
      <c r="D31" s="3"/>
      <c r="E31" s="11"/>
      <c r="F31" s="3"/>
      <c r="G31" s="3"/>
      <c r="H31" s="3"/>
      <c r="I31" s="3"/>
      <c r="J31" s="3"/>
      <c r="K31" s="3"/>
      <c r="L31" s="3"/>
      <c r="M31" s="3"/>
      <c r="N31" s="1"/>
      <c r="O31" s="1"/>
      <c r="P31" s="1"/>
    </row>
    <row r="32" spans="1:1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1"/>
    </row>
    <row r="33" spans="1:1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1"/>
    </row>
    <row r="34" spans="1:1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1"/>
    </row>
    <row r="35" spans="1:14" x14ac:dyDescent="0.25">
      <c r="A35" s="3"/>
      <c r="B35" s="3"/>
      <c r="C35" s="11"/>
      <c r="D35" s="11"/>
      <c r="E35" s="3"/>
      <c r="F35" s="3"/>
      <c r="G35" s="3"/>
      <c r="H35" s="3"/>
      <c r="I35" s="3"/>
      <c r="J35" s="3"/>
      <c r="K35" s="3"/>
      <c r="L35" s="3"/>
      <c r="M35" s="3"/>
      <c r="N35" s="1"/>
    </row>
    <row r="36" spans="1:14" x14ac:dyDescent="0.25">
      <c r="A36" s="3"/>
      <c r="B36" s="3"/>
      <c r="C36" s="3"/>
      <c r="D36" s="13"/>
      <c r="E36" s="3"/>
      <c r="F36" s="3"/>
      <c r="G36" s="3"/>
      <c r="H36" s="3"/>
      <c r="I36" s="3"/>
      <c r="J36" s="3"/>
      <c r="K36" s="3"/>
      <c r="L36" s="3"/>
      <c r="M36" s="3"/>
      <c r="N36" s="1"/>
    </row>
    <row r="37" spans="1:14" x14ac:dyDescent="0.25">
      <c r="A37" s="3"/>
      <c r="B37" s="3"/>
      <c r="C37" s="11"/>
      <c r="D37" s="3"/>
      <c r="E37" s="3"/>
      <c r="F37" s="3"/>
      <c r="G37" s="3"/>
      <c r="H37" s="3"/>
      <c r="I37" s="3"/>
      <c r="J37" s="3"/>
      <c r="K37" s="3"/>
      <c r="L37" s="3"/>
      <c r="M37" s="3"/>
      <c r="N37" s="1"/>
    </row>
    <row r="38" spans="1:14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1"/>
    </row>
    <row r="39" spans="1:14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1"/>
    </row>
    <row r="40" spans="1:14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1"/>
    </row>
    <row r="41" spans="1:14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1"/>
    </row>
    <row r="42" spans="1:14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1"/>
    </row>
    <row r="43" spans="1:1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1"/>
    </row>
    <row r="44" spans="1:1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Панин</dc:creator>
  <cp:lastModifiedBy>Максим Панин</cp:lastModifiedBy>
  <dcterms:created xsi:type="dcterms:W3CDTF">2021-02-03T15:17:45Z</dcterms:created>
  <dcterms:modified xsi:type="dcterms:W3CDTF">2021-02-10T19:50:05Z</dcterms:modified>
</cp:coreProperties>
</file>