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Знания\учебный склад\4 курс\Курсач\"/>
    </mc:Choice>
  </mc:AlternateContent>
  <xr:revisionPtr revIDLastSave="0" documentId="13_ncr:1_{99E027B2-CF69-4956-B2E5-6D33058B8E3F}" xr6:coauthVersionLast="46" xr6:coauthVersionMax="46" xr10:uidLastSave="{00000000-0000-0000-0000-000000000000}"/>
  <bookViews>
    <workbookView xWindow="960" yWindow="900" windowWidth="14670" windowHeight="12720" xr2:uid="{F41D39F4-3BE7-423C-BBC5-20A543100A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C27" i="1"/>
  <c r="E46" i="1"/>
  <c r="D46" i="1"/>
  <c r="G46" i="1"/>
  <c r="F43" i="1"/>
  <c r="E43" i="1"/>
  <c r="C40" i="1"/>
  <c r="D40" i="1"/>
  <c r="D37" i="1"/>
  <c r="B36" i="1"/>
  <c r="A36" i="1"/>
  <c r="H36" i="1"/>
  <c r="J36" i="1"/>
  <c r="J32" i="1"/>
  <c r="I34" i="1"/>
  <c r="J34" i="1"/>
  <c r="E30" i="1"/>
  <c r="I32" i="1"/>
  <c r="I30" i="1"/>
  <c r="H30" i="1"/>
  <c r="G30" i="1"/>
  <c r="I27" i="1"/>
  <c r="H27" i="1"/>
  <c r="F24" i="1"/>
  <c r="J22" i="1"/>
  <c r="I24" i="1"/>
  <c r="E22" i="1"/>
  <c r="E17" i="1"/>
  <c r="B20" i="1"/>
  <c r="C23" i="1"/>
  <c r="H22" i="1"/>
  <c r="D23" i="1"/>
  <c r="B23" i="1"/>
  <c r="E20" i="1"/>
  <c r="D20" i="1"/>
  <c r="W8" i="1"/>
  <c r="V8" i="1"/>
  <c r="U8" i="1"/>
  <c r="T8" i="1"/>
  <c r="S8" i="1"/>
  <c r="R8" i="1"/>
  <c r="Q8" i="1"/>
  <c r="P8" i="1"/>
  <c r="O8" i="1"/>
  <c r="N8" i="1"/>
  <c r="D3" i="1"/>
  <c r="D17" i="1"/>
  <c r="C17" i="1"/>
  <c r="B17" i="1"/>
  <c r="D12" i="1"/>
  <c r="D11" i="1"/>
  <c r="D10" i="1"/>
  <c r="D9" i="1"/>
  <c r="D8" i="1"/>
  <c r="D7" i="1"/>
  <c r="D6" i="1"/>
  <c r="D5" i="1"/>
  <c r="D4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<sst xmlns="http://schemas.openxmlformats.org/spreadsheetml/2006/main" count="80" uniqueCount="76">
  <si>
    <t>P</t>
  </si>
  <si>
    <t>T</t>
  </si>
  <si>
    <t>S</t>
  </si>
  <si>
    <t>H</t>
  </si>
  <si>
    <t>h</t>
  </si>
  <si>
    <t>b</t>
  </si>
  <si>
    <t>c</t>
  </si>
  <si>
    <t>d</t>
  </si>
  <si>
    <t>e</t>
  </si>
  <si>
    <t>f</t>
  </si>
  <si>
    <t>k</t>
  </si>
  <si>
    <t>k'</t>
  </si>
  <si>
    <t>a</t>
  </si>
  <si>
    <t>g</t>
  </si>
  <si>
    <t>xd</t>
  </si>
  <si>
    <t>n</t>
  </si>
  <si>
    <t>Qэл</t>
  </si>
  <si>
    <t>hвх</t>
  </si>
  <si>
    <t>hвых</t>
  </si>
  <si>
    <t>Nтвс</t>
  </si>
  <si>
    <t>Gтвс</t>
  </si>
  <si>
    <t>Gреак</t>
  </si>
  <si>
    <t>Сp</t>
  </si>
  <si>
    <t>Tвх</t>
  </si>
  <si>
    <t>Tвых</t>
  </si>
  <si>
    <t xml:space="preserve">Распределение температуры </t>
  </si>
  <si>
    <t>Tтн(z)=</t>
  </si>
  <si>
    <t>NвсNев…/...</t>
  </si>
  <si>
    <t>p/Hэф</t>
  </si>
  <si>
    <t>pHaz/2Hef</t>
  </si>
  <si>
    <t>Nтвэл</t>
  </si>
  <si>
    <t>Hef</t>
  </si>
  <si>
    <t>qmax</t>
  </si>
  <si>
    <t>Haz</t>
  </si>
  <si>
    <t>Sпрох</t>
  </si>
  <si>
    <t>dтв</t>
  </si>
  <si>
    <t>Nnk</t>
  </si>
  <si>
    <t>Dnk</t>
  </si>
  <si>
    <t>П</t>
  </si>
  <si>
    <t>Nсуз</t>
  </si>
  <si>
    <t>Dсуз</t>
  </si>
  <si>
    <t>dг</t>
  </si>
  <si>
    <t>Dцк</t>
  </si>
  <si>
    <t>xi</t>
  </si>
  <si>
    <t>Re</t>
  </si>
  <si>
    <t>Nu🐓</t>
  </si>
  <si>
    <t>Pr</t>
  </si>
  <si>
    <t>NuDitBolt</t>
  </si>
  <si>
    <t>lambsr</t>
  </si>
  <si>
    <t>alpha1</t>
  </si>
  <si>
    <t>a1</t>
  </si>
  <si>
    <t>a2</t>
  </si>
  <si>
    <t>NuMih</t>
  </si>
  <si>
    <t>a3</t>
  </si>
  <si>
    <t>alphasr</t>
  </si>
  <si>
    <t>Распределение оболочки</t>
  </si>
  <si>
    <t>SRi</t>
  </si>
  <si>
    <t>lambdagz</t>
  </si>
  <si>
    <t>lambdaob</t>
  </si>
  <si>
    <t>lambdatop</t>
  </si>
  <si>
    <t>deltagz</t>
  </si>
  <si>
    <t>0.35</t>
  </si>
  <si>
    <t>dPtr</t>
  </si>
  <si>
    <t>rhosr</t>
  </si>
  <si>
    <t>dPusk</t>
  </si>
  <si>
    <t>rhovih</t>
  </si>
  <si>
    <t>rhovh</t>
  </si>
  <si>
    <t>dPniv</t>
  </si>
  <si>
    <t>xivh</t>
  </si>
  <si>
    <t>xvih</t>
  </si>
  <si>
    <t>xresh</t>
  </si>
  <si>
    <t>dPmest</t>
  </si>
  <si>
    <t>dP</t>
  </si>
  <si>
    <t>Npr</t>
  </si>
  <si>
    <t>eta'</t>
  </si>
  <si>
    <t>Qel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</si>
</sst>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MonoLisa"/>
    </font>
    <font>
      <sz val="11"/>
      <name val="MonoLisa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2" fillId="0" borderId="0" xfId="0" applyFont="1" applyFill="1" applyBorder="1"/>
    <xf numFmtId="2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2" xfId="0" applyFont="1" applyFill="1" applyBorder="1"/>
    <xf numFmtId="0" fontId="2" fillId="0" borderId="2" xfId="0" applyFont="1" applyFill="1" applyBorder="1"/>
    <xf numFmtId="17" fontId="1" fillId="0" borderId="0" xfId="0" applyNumberFormat="1" applyFont="1" applyFill="1"/>
    <xf numFmtId="2" fontId="1" fillId="0" borderId="0" xfId="0" applyNumberFormat="1" applyFont="1" applyFill="1"/>
    <xf numFmtId="16" fontId="1" fillId="0" borderId="0" xfId="0" applyNumberFormat="1" applyFont="1" applyFill="1"/>
    <xf numFmtId="0" fontId="1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957609639463054E-2"/>
          <c:y val="7.4911490593706234E-2"/>
          <c:w val="0.87963256453411198"/>
          <c:h val="0.811908442034428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Лист1!$M$8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Лист1!$N$7:$W$7</c:f>
              <c:numCache>
                <c:formatCode>General</c:formatCode>
                <c:ptCount val="10"/>
                <c:pt idx="0">
                  <c:v>2517</c:v>
                </c:pt>
                <c:pt idx="1">
                  <c:v>3076</c:v>
                </c:pt>
                <c:pt idx="2">
                  <c:v>5852</c:v>
                </c:pt>
                <c:pt idx="3">
                  <c:v>5852</c:v>
                </c:pt>
                <c:pt idx="4">
                  <c:v>6543</c:v>
                </c:pt>
                <c:pt idx="5">
                  <c:v>6863</c:v>
                </c:pt>
                <c:pt idx="6">
                  <c:v>6863</c:v>
                </c:pt>
                <c:pt idx="7">
                  <c:v>295.2</c:v>
                </c:pt>
                <c:pt idx="8">
                  <c:v>295.2</c:v>
                </c:pt>
                <c:pt idx="9">
                  <c:v>2188</c:v>
                </c:pt>
              </c:numCache>
            </c:numRef>
          </c:xVal>
          <c:yVal>
            <c:numRef>
              <c:f>Лист1!$N$8:$W$8</c:f>
              <c:numCache>
                <c:formatCode>General</c:formatCode>
                <c:ptCount val="10"/>
                <c:pt idx="0">
                  <c:v>220</c:v>
                </c:pt>
                <c:pt idx="1">
                  <c:v>281</c:v>
                </c:pt>
                <c:pt idx="2">
                  <c:v>281</c:v>
                </c:pt>
                <c:pt idx="3">
                  <c:v>185</c:v>
                </c:pt>
                <c:pt idx="4">
                  <c:v>185</c:v>
                </c:pt>
                <c:pt idx="5">
                  <c:v>250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9-4A88-AC68-FD08131F6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90112"/>
        <c:axId val="1911087616"/>
      </c:scatterChart>
      <c:valAx>
        <c:axId val="19110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87616"/>
        <c:crosses val="autoZero"/>
        <c:crossBetween val="midCat"/>
      </c:valAx>
      <c:valAx>
        <c:axId val="19110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0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593355</xdr:colOff>
      <xdr:row>13</xdr:row>
      <xdr:rowOff>0</xdr:rowOff>
    </xdr:from>
    <xdr:ext cx="64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29950A-5D99-4964-976C-FD4894E9527B}"/>
            </a:ext>
          </a:extLst>
        </xdr:cNvPr>
        <xdr:cNvSpPr txBox="1"/>
      </xdr:nvSpPr>
      <xdr:spPr>
        <a:xfrm>
          <a:off x="4250955" y="2377440"/>
          <a:ext cx="6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ctr"/>
          <a:endParaRPr lang="ru-RU" sz="1100"/>
        </a:p>
      </xdr:txBody>
    </xdr:sp>
    <xdr:clientData/>
  </xdr:oneCellAnchor>
  <xdr:oneCellAnchor>
    <xdr:from>
      <xdr:col>6</xdr:col>
      <xdr:colOff>60007</xdr:colOff>
      <xdr:row>19</xdr:row>
      <xdr:rowOff>91440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FC6A3B-EF53-4054-A4E0-D7D1FB74DFB7}"/>
            </a:ext>
          </a:extLst>
        </xdr:cNvPr>
        <xdr:cNvSpPr txBox="1"/>
      </xdr:nvSpPr>
      <xdr:spPr>
        <a:xfrm>
          <a:off x="3717607" y="36347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209312</xdr:colOff>
      <xdr:row>14</xdr:row>
      <xdr:rowOff>151210</xdr:rowOff>
    </xdr:from>
    <xdr:ext cx="225190" cy="187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BBC57A-A992-4ED0-BF6F-03574ADA493A}"/>
                </a:ext>
              </a:extLst>
            </xdr:cNvPr>
            <xdr:cNvSpPr txBox="1"/>
          </xdr:nvSpPr>
          <xdr:spPr>
            <a:xfrm>
              <a:off x="816531" y="2782491"/>
              <a:ext cx="225190" cy="187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BBC57A-A992-4ED0-BF6F-03574ADA493A}"/>
                </a:ext>
              </a:extLst>
            </xdr:cNvPr>
            <xdr:cNvSpPr txBox="1"/>
          </xdr:nvSpPr>
          <xdr:spPr>
            <a:xfrm>
              <a:off x="816531" y="2782491"/>
              <a:ext cx="225190" cy="187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168831</xdr:colOff>
      <xdr:row>14</xdr:row>
      <xdr:rowOff>148828</xdr:rowOff>
    </xdr:from>
    <xdr:ext cx="260776" cy="186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004410-D6BC-4E4D-B50F-B54E9F48BA9E}"/>
                </a:ext>
              </a:extLst>
            </xdr:cNvPr>
            <xdr:cNvSpPr txBox="1"/>
          </xdr:nvSpPr>
          <xdr:spPr>
            <a:xfrm>
              <a:off x="1383269" y="2780109"/>
              <a:ext cx="260776" cy="186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0004410-D6BC-4E4D-B50F-B54E9F48BA9E}"/>
                </a:ext>
              </a:extLst>
            </xdr:cNvPr>
            <xdr:cNvSpPr txBox="1"/>
          </xdr:nvSpPr>
          <xdr:spPr>
            <a:xfrm>
              <a:off x="1383269" y="2780109"/>
              <a:ext cx="260776" cy="186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</a:t>
              </a:r>
              <a:r>
                <a:rPr lang="ru-RU" sz="1100" b="0" i="0">
                  <a:latin typeface="Cambria Math" panose="02040503050406030204" pitchFamily="18" charset="0"/>
                </a:rPr>
                <a:t>∞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3</xdr:col>
      <xdr:colOff>195391</xdr:colOff>
      <xdr:row>14</xdr:row>
      <xdr:rowOff>156155</xdr:rowOff>
    </xdr:from>
    <xdr:ext cx="234230" cy="187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0EDC4D-87C8-4995-B9E7-D47A7C7FC144}"/>
                </a:ext>
              </a:extLst>
            </xdr:cNvPr>
            <xdr:cNvSpPr txBox="1"/>
          </xdr:nvSpPr>
          <xdr:spPr>
            <a:xfrm>
              <a:off x="2019795" y="2801174"/>
              <a:ext cx="234230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0EDC4D-87C8-4995-B9E7-D47A7C7FC144}"/>
                </a:ext>
              </a:extLst>
            </xdr:cNvPr>
            <xdr:cNvSpPr txBox="1"/>
          </xdr:nvSpPr>
          <xdr:spPr>
            <a:xfrm>
              <a:off x="2019795" y="2801174"/>
              <a:ext cx="234230" cy="187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〖𝜂_𝑡〗_𝑛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59991</xdr:colOff>
      <xdr:row>14</xdr:row>
      <xdr:rowOff>173007</xdr:rowOff>
    </xdr:from>
    <xdr:ext cx="436466" cy="185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BF22D0-4DF0-4B6D-A43C-1789B12B3A1C}"/>
                </a:ext>
              </a:extLst>
            </xdr:cNvPr>
            <xdr:cNvSpPr txBox="1"/>
          </xdr:nvSpPr>
          <xdr:spPr>
            <a:xfrm>
              <a:off x="2492529" y="2818026"/>
              <a:ext cx="436466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брутто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BF22D0-4DF0-4B6D-A43C-1789B12B3A1C}"/>
                </a:ext>
              </a:extLst>
            </xdr:cNvPr>
            <xdr:cNvSpPr txBox="1"/>
          </xdr:nvSpPr>
          <xdr:spPr>
            <a:xfrm>
              <a:off x="2492529" y="2818026"/>
              <a:ext cx="436466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</a:rPr>
                <a:t>брутто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151430</xdr:colOff>
      <xdr:row>17</xdr:row>
      <xdr:rowOff>143113</xdr:rowOff>
    </xdr:from>
    <xdr:ext cx="374077" cy="181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CBEAA16-6FFD-4B8C-AB16-4351E2048CB3}"/>
                </a:ext>
              </a:extLst>
            </xdr:cNvPr>
            <xdr:cNvSpPr txBox="1"/>
          </xdr:nvSpPr>
          <xdr:spPr>
            <a:xfrm>
              <a:off x="759565" y="3337651"/>
              <a:ext cx="374077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теп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CBEAA16-6FFD-4B8C-AB16-4351E2048CB3}"/>
                </a:ext>
              </a:extLst>
            </xdr:cNvPr>
            <xdr:cNvSpPr txBox="1"/>
          </xdr:nvSpPr>
          <xdr:spPr>
            <a:xfrm>
              <a:off x="759565" y="3337651"/>
              <a:ext cx="374077" cy="181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𝑄_{</a:t>
              </a:r>
              <a:r>
                <a:rPr lang="ru-RU" sz="1100" b="0" i="0">
                  <a:latin typeface="Cambria Math" panose="02040503050406030204" pitchFamily="18" charset="0"/>
                </a:rPr>
                <a:t>теп</a:t>
              </a:r>
              <a:r>
                <a:rPr lang="en-US" sz="1100" b="0" i="0">
                  <a:latin typeface="Cambria Math" panose="02040503050406030204" pitchFamily="18" charset="0"/>
                </a:rPr>
                <a:t>} 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10</xdr:col>
      <xdr:colOff>249611</xdr:colOff>
      <xdr:row>8</xdr:row>
      <xdr:rowOff>164216</xdr:rowOff>
    </xdr:from>
    <xdr:to>
      <xdr:col>23</xdr:col>
      <xdr:colOff>347400</xdr:colOff>
      <xdr:row>35</xdr:row>
      <xdr:rowOff>79987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30999C4-0991-4101-80B5-41CBD015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бычная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AFD2-E7A1-473C-A080-D2C9DD88E143}">
  <dimension ref="A1:W47"/>
  <sheetViews>
    <sheetView tabSelected="1" topLeftCell="A24" zoomScale="120" zoomScaleNormal="120" workbookViewId="0">
      <selection activeCell="F27" sqref="F27"/>
    </sheetView>
  </sheetViews>
  <sheetFormatPr defaultRowHeight="15" x14ac:dyDescent="0.25"/>
  <cols>
    <col min="2" max="2" width="13.28515625" bestFit="1" customWidth="1"/>
    <col min="4" max="4" width="12.7109375" bestFit="1" customWidth="1"/>
    <col min="5" max="5" width="12.85546875" bestFit="1" customWidth="1"/>
    <col min="6" max="6" width="10.28515625" bestFit="1" customWidth="1"/>
  </cols>
  <sheetData>
    <row r="1" spans="1: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1"/>
    </row>
    <row r="2" spans="1:23" ht="15.75" x14ac:dyDescent="0.3">
      <c r="A2" s="3"/>
      <c r="B2" s="3"/>
      <c r="C2" s="4" t="s">
        <v>0</v>
      </c>
      <c r="D2" s="4" t="s">
        <v>1</v>
      </c>
      <c r="E2" s="4" t="s">
        <v>2</v>
      </c>
      <c r="F2" s="4" t="s">
        <v>3</v>
      </c>
      <c r="G2" s="3"/>
      <c r="H2" s="3"/>
      <c r="I2" s="3"/>
      <c r="J2" s="3"/>
      <c r="K2" s="3"/>
      <c r="L2" s="3"/>
      <c r="M2" s="3"/>
      <c r="N2" s="1"/>
      <c r="O2" s="1"/>
      <c r="P2" s="1"/>
    </row>
    <row r="3" spans="1:23" ht="15.75" x14ac:dyDescent="0.3">
      <c r="A3" s="3"/>
      <c r="B3" s="4" t="s">
        <v>4</v>
      </c>
      <c r="C3" s="5">
        <v>2.6</v>
      </c>
      <c r="D3" s="6">
        <f>220+273</f>
        <v>493</v>
      </c>
      <c r="E3" s="6">
        <v>2517</v>
      </c>
      <c r="F3" s="6">
        <f>943.7*10^(3)</f>
        <v>943700</v>
      </c>
      <c r="G3" s="3"/>
      <c r="H3" s="9" t="s">
        <v>14</v>
      </c>
      <c r="I3" s="9" t="s">
        <v>15</v>
      </c>
      <c r="J3" s="9" t="s">
        <v>16</v>
      </c>
      <c r="K3" s="3"/>
      <c r="L3" s="3"/>
      <c r="M3" s="3"/>
      <c r="N3" s="1"/>
      <c r="O3" s="1"/>
      <c r="P3" s="1"/>
    </row>
    <row r="4" spans="1:23" ht="15.75" x14ac:dyDescent="0.3">
      <c r="A4" s="3"/>
      <c r="B4" s="4" t="s">
        <v>5</v>
      </c>
      <c r="C4" s="7">
        <v>6.5</v>
      </c>
      <c r="D4" s="6">
        <f>281+273</f>
        <v>554</v>
      </c>
      <c r="E4" s="6">
        <v>3076</v>
      </c>
      <c r="F4" s="6">
        <f>2780*10^3</f>
        <v>2780000</v>
      </c>
      <c r="G4" s="3"/>
      <c r="H4" s="9">
        <v>0.8</v>
      </c>
      <c r="I4" s="9">
        <v>7</v>
      </c>
      <c r="J4" s="9">
        <v>1000</v>
      </c>
      <c r="K4" s="3"/>
      <c r="L4" s="3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3" ht="15.75" x14ac:dyDescent="0.3">
      <c r="A5" s="3"/>
      <c r="B5" s="4" t="s">
        <v>6</v>
      </c>
      <c r="C5" s="6">
        <v>6.5</v>
      </c>
      <c r="D5" s="6">
        <f>281+273</f>
        <v>554</v>
      </c>
      <c r="E5" s="6">
        <v>5852</v>
      </c>
      <c r="F5" s="6">
        <f>2779*10^3</f>
        <v>2779000</v>
      </c>
      <c r="G5" s="3"/>
      <c r="H5" s="3"/>
      <c r="I5" s="3"/>
      <c r="J5" s="3"/>
      <c r="K5" s="3"/>
      <c r="L5" s="3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3" ht="15.75" x14ac:dyDescent="0.3">
      <c r="A6" s="3"/>
      <c r="B6" s="4" t="s">
        <v>7</v>
      </c>
      <c r="C6" s="6">
        <v>1.1299999999999999</v>
      </c>
      <c r="D6" s="6">
        <f>185+273</f>
        <v>458</v>
      </c>
      <c r="E6" s="6">
        <v>5852</v>
      </c>
      <c r="F6" s="6">
        <f>10^3*2465</f>
        <v>2465000</v>
      </c>
      <c r="G6" s="3"/>
      <c r="H6" s="3"/>
      <c r="I6" s="3"/>
      <c r="J6" s="3"/>
      <c r="K6" s="3"/>
      <c r="L6" s="3"/>
      <c r="M6" s="3"/>
      <c r="N6" s="1"/>
      <c r="O6" s="1"/>
      <c r="P6" s="1"/>
    </row>
    <row r="7" spans="1:23" ht="15.75" x14ac:dyDescent="0.3">
      <c r="A7" s="3"/>
      <c r="B7" s="4" t="s">
        <v>8</v>
      </c>
      <c r="C7" s="6">
        <v>1.1299999999999999</v>
      </c>
      <c r="D7" s="6">
        <f>185+273</f>
        <v>458</v>
      </c>
      <c r="E7" s="6">
        <v>6543</v>
      </c>
      <c r="F7" s="6">
        <f>2782*10^3</f>
        <v>2782000</v>
      </c>
      <c r="G7" s="3"/>
      <c r="H7" s="3"/>
      <c r="I7" s="3"/>
      <c r="J7" s="3"/>
      <c r="K7" s="3"/>
      <c r="L7" s="3"/>
      <c r="M7" s="10" t="s">
        <v>2</v>
      </c>
      <c r="N7" s="6">
        <v>2517</v>
      </c>
      <c r="O7" s="6">
        <v>3076</v>
      </c>
      <c r="P7" s="6">
        <v>5852</v>
      </c>
      <c r="Q7" s="6">
        <v>5852</v>
      </c>
      <c r="R7" s="6">
        <v>6543</v>
      </c>
      <c r="S7" s="6">
        <v>6863</v>
      </c>
      <c r="T7" s="6">
        <v>6863</v>
      </c>
      <c r="U7" s="6">
        <v>295.2</v>
      </c>
      <c r="V7" s="6">
        <v>295.2</v>
      </c>
      <c r="W7" s="6">
        <v>2188</v>
      </c>
    </row>
    <row r="8" spans="1:23" ht="15.75" x14ac:dyDescent="0.3">
      <c r="A8" s="3"/>
      <c r="B8" s="4" t="s">
        <v>9</v>
      </c>
      <c r="C8" s="6">
        <v>1.1299999999999999</v>
      </c>
      <c r="D8" s="6">
        <f>250+273</f>
        <v>523</v>
      </c>
      <c r="E8" s="6">
        <v>6863</v>
      </c>
      <c r="F8" s="6">
        <f>2938*10^3</f>
        <v>2938000</v>
      </c>
      <c r="G8" s="3"/>
      <c r="H8" s="3"/>
      <c r="I8" s="3"/>
      <c r="J8" s="3"/>
      <c r="K8" s="3"/>
      <c r="L8" s="3"/>
      <c r="M8" s="10" t="s">
        <v>1</v>
      </c>
      <c r="N8" s="6">
        <f>220</f>
        <v>220</v>
      </c>
      <c r="O8" s="6">
        <f>281</f>
        <v>281</v>
      </c>
      <c r="P8" s="6">
        <f>281</f>
        <v>281</v>
      </c>
      <c r="Q8" s="6">
        <f>185</f>
        <v>185</v>
      </c>
      <c r="R8" s="6">
        <f>185</f>
        <v>185</v>
      </c>
      <c r="S8" s="6">
        <f>250</f>
        <v>250</v>
      </c>
      <c r="T8" s="6">
        <f>20</f>
        <v>20</v>
      </c>
      <c r="U8" s="6">
        <f>20</f>
        <v>20</v>
      </c>
      <c r="V8" s="6">
        <f>20</f>
        <v>20</v>
      </c>
      <c r="W8" s="6">
        <f>185</f>
        <v>185</v>
      </c>
    </row>
    <row r="9" spans="1:23" ht="15.75" x14ac:dyDescent="0.3">
      <c r="A9" s="3"/>
      <c r="B9" s="4" t="s">
        <v>10</v>
      </c>
      <c r="C9" s="6">
        <v>2.3E-3</v>
      </c>
      <c r="D9" s="6">
        <f>20+273</f>
        <v>293</v>
      </c>
      <c r="E9" s="6">
        <v>6863</v>
      </c>
      <c r="F9" s="6">
        <f>1998*10^3</f>
        <v>1998000</v>
      </c>
      <c r="G9" s="3"/>
      <c r="H9" s="3"/>
      <c r="I9" s="3"/>
      <c r="J9" s="3"/>
      <c r="K9" s="3"/>
      <c r="L9" s="3"/>
    </row>
    <row r="10" spans="1:23" ht="15.75" x14ac:dyDescent="0.3">
      <c r="A10" s="3"/>
      <c r="B10" s="4" t="s">
        <v>11</v>
      </c>
      <c r="C10" s="6">
        <v>2.3E-3</v>
      </c>
      <c r="D10" s="6">
        <f>20+273</f>
        <v>293</v>
      </c>
      <c r="E10" s="6">
        <v>295.2</v>
      </c>
      <c r="F10" s="6">
        <f>83.92*10^3</f>
        <v>83920</v>
      </c>
      <c r="G10" s="3"/>
      <c r="H10" s="3"/>
      <c r="I10" s="3"/>
      <c r="J10" s="3"/>
      <c r="K10" s="3"/>
      <c r="L10" s="3"/>
      <c r="M10" s="3"/>
      <c r="N10" s="1"/>
      <c r="O10" s="1"/>
      <c r="P10" s="1"/>
    </row>
    <row r="11" spans="1:23" ht="15.75" x14ac:dyDescent="0.3">
      <c r="A11" s="3"/>
      <c r="B11" s="4" t="s">
        <v>12</v>
      </c>
      <c r="C11" s="6">
        <v>6.5</v>
      </c>
      <c r="D11" s="6">
        <f>20+273</f>
        <v>293</v>
      </c>
      <c r="E11" s="6">
        <v>295.2</v>
      </c>
      <c r="F11" s="6">
        <f>90*10^3</f>
        <v>90000</v>
      </c>
      <c r="G11" s="3"/>
      <c r="H11" s="3"/>
      <c r="I11" s="3"/>
      <c r="J11" s="3"/>
      <c r="K11" s="3"/>
      <c r="L11" s="3"/>
      <c r="M11" s="3"/>
      <c r="N11" s="1"/>
      <c r="O11" s="1"/>
      <c r="P11" s="1"/>
    </row>
    <row r="12" spans="1:23" ht="15.75" x14ac:dyDescent="0.3">
      <c r="A12" s="3"/>
      <c r="B12" s="8" t="s">
        <v>13</v>
      </c>
      <c r="C12" s="6">
        <v>1.1299999999999999</v>
      </c>
      <c r="D12" s="6">
        <f>185+273</f>
        <v>458</v>
      </c>
      <c r="E12" s="6">
        <v>2188</v>
      </c>
      <c r="F12" s="6">
        <f>785.3*10^3</f>
        <v>785300</v>
      </c>
      <c r="G12" s="3"/>
      <c r="H12" s="3"/>
      <c r="I12" s="3"/>
      <c r="J12" s="3"/>
      <c r="K12" s="3"/>
      <c r="L12" s="3"/>
      <c r="M12" s="3"/>
      <c r="N12" s="1"/>
      <c r="O12" s="1"/>
      <c r="P12" s="1"/>
    </row>
    <row r="13" spans="1:2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/>
      <c r="O13" s="1"/>
      <c r="P13" s="1"/>
    </row>
    <row r="14" spans="1:2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"/>
      <c r="O14" s="1"/>
      <c r="P14" s="1"/>
    </row>
    <row r="15" spans="1:2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"/>
      <c r="O15" s="1"/>
      <c r="P15" s="1"/>
    </row>
    <row r="16" spans="1:2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"/>
      <c r="O16" s="1"/>
      <c r="P16" s="1"/>
    </row>
    <row r="17" spans="1:16" x14ac:dyDescent="0.25">
      <c r="A17" s="3"/>
      <c r="B17" s="3">
        <f xml:space="preserve"> 1 - (D9*(E8-E11)*H4) / ((F5-F12)+H4*((F12-F11)+(F8-F7)))</f>
        <v>0.4244329093668916</v>
      </c>
      <c r="C17" s="3">
        <f>1 - D9*(E8-E12)*(E5-E3)/((F5-F3)*(E7-E12)+(F8-F7)*(E8-E3))</f>
        <v>0.47314568909169175</v>
      </c>
      <c r="D17" s="3">
        <f>B17+(C17-B17)*I4/(I4+1)</f>
        <v>0.4670565916260917</v>
      </c>
      <c r="E17" s="3">
        <f>D17*0.85*0.98*0.98*0.97</f>
        <v>0.36983866866780235</v>
      </c>
      <c r="F17" s="3"/>
      <c r="G17" s="3"/>
      <c r="H17" s="3"/>
      <c r="I17" s="3"/>
      <c r="J17" s="3"/>
      <c r="K17" s="3"/>
      <c r="L17" s="3"/>
      <c r="M17" s="3"/>
      <c r="N17" s="1"/>
      <c r="O17" s="1"/>
      <c r="P17" s="1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"/>
      <c r="O18" s="1"/>
      <c r="P18" s="1"/>
    </row>
    <row r="19" spans="1:16" x14ac:dyDescent="0.25">
      <c r="A19" s="3"/>
      <c r="B19" s="3"/>
      <c r="C19" s="3"/>
      <c r="D19" s="3" t="s">
        <v>17</v>
      </c>
      <c r="E19" s="3" t="s">
        <v>18</v>
      </c>
      <c r="F19" s="3" t="s">
        <v>19</v>
      </c>
      <c r="G19" s="3" t="s">
        <v>23</v>
      </c>
      <c r="H19" s="3" t="s">
        <v>24</v>
      </c>
      <c r="I19" s="3"/>
      <c r="J19" s="3"/>
      <c r="K19" s="3"/>
      <c r="L19" s="3"/>
      <c r="M19" s="3"/>
      <c r="N19" s="1"/>
      <c r="O19" s="1"/>
      <c r="P19" s="1"/>
    </row>
    <row r="20" spans="1:16" x14ac:dyDescent="0.25">
      <c r="A20" s="3"/>
      <c r="B20" s="3">
        <f>J4/E17*10^6</f>
        <v>2703881677.9275808</v>
      </c>
      <c r="C20" s="3"/>
      <c r="D20" s="3">
        <f>1268*10^3</f>
        <v>1268000</v>
      </c>
      <c r="E20" s="3">
        <f>1453*10^3</f>
        <v>1453000</v>
      </c>
      <c r="F20" s="3">
        <v>163</v>
      </c>
      <c r="G20" s="3">
        <v>287</v>
      </c>
      <c r="H20" s="3">
        <v>320</v>
      </c>
      <c r="I20" s="3"/>
      <c r="J20" s="3"/>
      <c r="K20" s="3"/>
      <c r="L20" s="3"/>
      <c r="M20" s="3"/>
      <c r="N20" s="1"/>
      <c r="O20" s="1"/>
      <c r="P20" s="1"/>
    </row>
    <row r="21" spans="1:16" x14ac:dyDescent="0.25">
      <c r="A21" s="3"/>
      <c r="B21" s="3"/>
      <c r="C21" s="3"/>
      <c r="D21" s="3"/>
      <c r="E21" s="3" t="s">
        <v>12</v>
      </c>
      <c r="F21" s="3" t="s">
        <v>30</v>
      </c>
      <c r="G21" s="3" t="s">
        <v>31</v>
      </c>
      <c r="H21" s="3" t="s">
        <v>32</v>
      </c>
      <c r="I21" s="3" t="s">
        <v>33</v>
      </c>
      <c r="J21" s="3" t="s">
        <v>35</v>
      </c>
      <c r="K21" s="3"/>
      <c r="L21" s="3"/>
      <c r="M21" s="3"/>
      <c r="N21" s="1"/>
      <c r="O21" s="1"/>
      <c r="P21" s="1"/>
    </row>
    <row r="22" spans="1:16" x14ac:dyDescent="0.25">
      <c r="A22" s="3"/>
      <c r="B22" s="3" t="s">
        <v>20</v>
      </c>
      <c r="C22" s="3" t="s">
        <v>21</v>
      </c>
      <c r="D22" s="3" t="s">
        <v>22</v>
      </c>
      <c r="E22" s="3">
        <f>234</f>
        <v>234</v>
      </c>
      <c r="F22" s="3">
        <v>317</v>
      </c>
      <c r="G22" s="12">
        <v>2.66</v>
      </c>
      <c r="H22" s="3">
        <f>279.93*10^2</f>
        <v>27993</v>
      </c>
      <c r="I22" s="3">
        <v>3.5</v>
      </c>
      <c r="J22" s="3">
        <f>9.1</f>
        <v>9.1</v>
      </c>
      <c r="K22" s="3"/>
      <c r="L22" s="3"/>
      <c r="M22" s="3"/>
      <c r="N22" s="1"/>
      <c r="O22" s="1"/>
      <c r="P22" s="1"/>
    </row>
    <row r="23" spans="1:16" x14ac:dyDescent="0.25">
      <c r="A23" s="3"/>
      <c r="B23" s="3">
        <f>B20/(E20-D20)/F20</f>
        <v>89.666114340161869</v>
      </c>
      <c r="C23" s="3">
        <f>B20/(E20-D20)</f>
        <v>14615.576637446384</v>
      </c>
      <c r="D23" s="3">
        <f>(E20-D20)/(H20-G20)</f>
        <v>5606.060606060606</v>
      </c>
      <c r="E23" s="3"/>
      <c r="F23" s="3" t="s">
        <v>42</v>
      </c>
      <c r="G23" s="11" t="s">
        <v>40</v>
      </c>
      <c r="H23" s="3" t="s">
        <v>39</v>
      </c>
      <c r="I23" s="3" t="s">
        <v>37</v>
      </c>
      <c r="J23" s="3" t="s">
        <v>36</v>
      </c>
      <c r="K23" s="3"/>
      <c r="L23" s="3"/>
      <c r="M23" s="3"/>
      <c r="N23" s="1"/>
      <c r="O23" s="1"/>
      <c r="P23" s="1"/>
    </row>
    <row r="24" spans="1:16" x14ac:dyDescent="0.25">
      <c r="A24" s="3"/>
      <c r="B24" s="3"/>
      <c r="C24" s="3"/>
      <c r="D24" s="3"/>
      <c r="E24" s="3"/>
      <c r="F24" s="14">
        <f>10.3</f>
        <v>10.3</v>
      </c>
      <c r="G24" s="14">
        <v>8.1999999999999993</v>
      </c>
      <c r="H24" s="3">
        <v>1308</v>
      </c>
      <c r="I24" s="3">
        <f>12.6</f>
        <v>12.6</v>
      </c>
      <c r="J24" s="3">
        <v>12</v>
      </c>
      <c r="K24" s="3"/>
      <c r="L24" s="3"/>
      <c r="M24" s="3"/>
      <c r="N24" s="1"/>
      <c r="O24" s="1"/>
      <c r="P24" s="1"/>
    </row>
    <row r="25" spans="1:16" x14ac:dyDescent="0.25">
      <c r="A25" s="3"/>
      <c r="B25" s="3" t="s">
        <v>25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"/>
      <c r="O25" s="1"/>
      <c r="P25" s="1"/>
    </row>
    <row r="26" spans="1:16" x14ac:dyDescent="0.25">
      <c r="A26" s="3" t="s">
        <v>26</v>
      </c>
      <c r="B26" s="3" t="s">
        <v>23</v>
      </c>
      <c r="C26" s="3" t="s">
        <v>27</v>
      </c>
      <c r="D26" s="3"/>
      <c r="E26" s="3" t="s">
        <v>28</v>
      </c>
      <c r="F26" s="3" t="s">
        <v>29</v>
      </c>
      <c r="G26" s="3"/>
      <c r="H26" s="3" t="s">
        <v>34</v>
      </c>
      <c r="I26" s="3" t="s">
        <v>38</v>
      </c>
      <c r="J26" s="3"/>
      <c r="K26" s="3"/>
      <c r="L26" s="3"/>
      <c r="M26" s="3"/>
      <c r="N26" s="1"/>
      <c r="O26" s="1"/>
      <c r="P26" s="1"/>
    </row>
    <row r="27" spans="1:16" x14ac:dyDescent="0.25">
      <c r="A27" s="3"/>
      <c r="B27" s="3">
        <v>287</v>
      </c>
      <c r="C27" s="3">
        <f>F20*F22*H22*G22/(C23*D23*PI())</f>
        <v>14.947010226536861</v>
      </c>
      <c r="D27" s="3"/>
      <c r="E27" s="3">
        <f>PI()/G22</f>
        <v>1.1810498697705989</v>
      </c>
      <c r="F27" s="3">
        <f>PI()*I22/(2*G22)</f>
        <v>2.0668372720985482</v>
      </c>
      <c r="G27" s="3"/>
      <c r="H27" s="3">
        <f>SQRT(3)/2*(E22-3)^2-F22*PI()*J22^2/4-J24*PI()*I24^2/4-F24^2*PI()/4</f>
        <v>24015.074385366013</v>
      </c>
      <c r="I27" s="3">
        <f>F22*PI()*J22+J24*PI()*I24+PI()*F24+2*(E22-3)*SQRT(3)</f>
        <v>10370.127014462048</v>
      </c>
      <c r="J27" s="3"/>
      <c r="K27" s="3"/>
      <c r="L27" s="3"/>
      <c r="M27" s="3"/>
      <c r="N27" s="1"/>
      <c r="O27" s="1"/>
      <c r="P27" s="1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"/>
      <c r="O28" s="1"/>
      <c r="P28" s="1"/>
    </row>
    <row r="29" spans="1:16" x14ac:dyDescent="0.25">
      <c r="A29" s="3"/>
      <c r="B29" s="3"/>
      <c r="C29" s="3"/>
      <c r="D29" s="3"/>
      <c r="E29" s="3" t="s">
        <v>41</v>
      </c>
      <c r="F29" s="3"/>
      <c r="G29" s="3" t="s">
        <v>44</v>
      </c>
      <c r="H29" s="3" t="s">
        <v>43</v>
      </c>
      <c r="I29" s="3" t="s">
        <v>45</v>
      </c>
      <c r="J29" s="3" t="s">
        <v>46</v>
      </c>
      <c r="K29" s="3"/>
      <c r="L29" s="3"/>
      <c r="M29" s="3"/>
      <c r="N29" s="1"/>
      <c r="O29" s="1"/>
      <c r="P29" s="1"/>
    </row>
    <row r="30" spans="1:16" x14ac:dyDescent="0.25">
      <c r="A30" s="3"/>
      <c r="B30" s="3"/>
      <c r="C30" s="3"/>
      <c r="D30" s="3"/>
      <c r="E30" s="3">
        <f>4*H27/I27</f>
        <v>9.2631746368679551</v>
      </c>
      <c r="F30" s="3"/>
      <c r="G30" s="3">
        <f>5.15*10^5</f>
        <v>515000.00000000006</v>
      </c>
      <c r="H30" s="3">
        <f>(1.82*LOG(G30)-1.64)^(-2)</f>
        <v>1.3044852443772844E-2</v>
      </c>
      <c r="I30" s="3">
        <f>H30/8*G30*J30/( 1.07 + 12.7*(J30^(2/3)-1)*SQRT(H30/8) )</f>
        <v>976.059295718974</v>
      </c>
      <c r="J30" s="14">
        <v>1.39</v>
      </c>
      <c r="K30" s="3"/>
      <c r="L30" s="3"/>
      <c r="M30" s="3"/>
      <c r="N30" s="1"/>
      <c r="O30" s="1"/>
      <c r="P30" s="1"/>
    </row>
    <row r="31" spans="1:16" x14ac:dyDescent="0.25">
      <c r="A31" s="3" t="s">
        <v>57</v>
      </c>
      <c r="B31" s="3" t="s">
        <v>58</v>
      </c>
      <c r="C31" s="3" t="s">
        <v>59</v>
      </c>
      <c r="D31" s="3" t="s">
        <v>60</v>
      </c>
      <c r="E31" s="11"/>
      <c r="F31" s="3"/>
      <c r="G31" s="3" t="s">
        <v>49</v>
      </c>
      <c r="H31" s="3" t="s">
        <v>48</v>
      </c>
      <c r="I31" s="3" t="s">
        <v>47</v>
      </c>
      <c r="J31" s="3" t="s">
        <v>50</v>
      </c>
      <c r="K31" s="3"/>
      <c r="L31" s="3"/>
      <c r="M31" s="3"/>
      <c r="N31" s="1"/>
      <c r="O31" s="1"/>
      <c r="P31" s="1"/>
    </row>
    <row r="32" spans="1:16" x14ac:dyDescent="0.25">
      <c r="A32" s="3" t="s">
        <v>61</v>
      </c>
      <c r="B32" s="3">
        <v>23</v>
      </c>
      <c r="C32" s="3">
        <v>3</v>
      </c>
      <c r="D32" s="3">
        <v>3</v>
      </c>
      <c r="E32" s="3"/>
      <c r="F32" s="3"/>
      <c r="G32" s="3"/>
      <c r="H32" s="3">
        <v>0.44700000000000001</v>
      </c>
      <c r="I32" s="3">
        <f>0.023*G30^(0.8)*J30^(0.4)</f>
        <v>973.59770021097836</v>
      </c>
      <c r="J32" s="3">
        <f>I30*H32/E30*10^3</f>
        <v>47100.321681282869</v>
      </c>
      <c r="K32" s="3"/>
      <c r="L32" s="3"/>
      <c r="M32" s="3"/>
      <c r="N32" s="1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 t="s">
        <v>52</v>
      </c>
      <c r="J33" s="3" t="s">
        <v>51</v>
      </c>
      <c r="K33" s="3"/>
      <c r="L33" s="3"/>
      <c r="M33" s="3"/>
      <c r="N33" s="1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>
        <f>0.021*G30^(0.8)*J30^(0.43)</f>
        <v>897.76246141588388</v>
      </c>
      <c r="J34" s="3">
        <f>I32*H32/E30*10^3</f>
        <v>46981.535926376062</v>
      </c>
      <c r="K34" s="3"/>
      <c r="L34" s="3"/>
      <c r="M34" s="3"/>
      <c r="N34" s="1"/>
    </row>
    <row r="35" spans="1:14" x14ac:dyDescent="0.25">
      <c r="A35" s="3" t="s">
        <v>55</v>
      </c>
      <c r="B35" s="3"/>
      <c r="C35" s="11"/>
      <c r="D35" s="11"/>
      <c r="E35" s="3"/>
      <c r="F35" s="3"/>
      <c r="G35" s="3"/>
      <c r="H35" s="3" t="s">
        <v>54</v>
      </c>
      <c r="I35" s="3"/>
      <c r="J35" s="3" t="s">
        <v>53</v>
      </c>
      <c r="K35" s="3"/>
      <c r="L35" s="3"/>
      <c r="M35" s="3"/>
      <c r="N35" s="1"/>
    </row>
    <row r="36" spans="1:14" x14ac:dyDescent="0.25">
      <c r="A36" s="3">
        <f>H22/(PI()*J22*10^(-3)*H36)</f>
        <v>21.378651813290617</v>
      </c>
      <c r="B36" s="3">
        <f>PI()/G22</f>
        <v>1.1810498697705989</v>
      </c>
      <c r="C36" s="3"/>
      <c r="D36" s="13" t="s">
        <v>62</v>
      </c>
      <c r="E36" s="3" t="s">
        <v>63</v>
      </c>
      <c r="F36" s="3"/>
      <c r="G36" s="3"/>
      <c r="H36" s="3">
        <f>(J32+J34+J36)/3</f>
        <v>45801.306331409221</v>
      </c>
      <c r="I36" s="3"/>
      <c r="J36" s="3">
        <f>I34*H32/E30*10^3</f>
        <v>43322.061386568734</v>
      </c>
      <c r="K36" s="3"/>
      <c r="L36" s="3"/>
      <c r="M36" s="3"/>
      <c r="N36" s="1"/>
    </row>
    <row r="37" spans="1:14" x14ac:dyDescent="0.25">
      <c r="A37" s="3"/>
      <c r="B37" s="3"/>
      <c r="C37" s="11"/>
      <c r="D37" s="3">
        <f>1/(2*E30*10^(-3)) * (C23/F20/H27*10^6)^2*H30/E37</f>
        <v>13633.446396658695</v>
      </c>
      <c r="E37" s="3">
        <v>720</v>
      </c>
      <c r="F37" s="3"/>
      <c r="G37" s="3"/>
      <c r="H37" s="3"/>
      <c r="I37" s="3"/>
      <c r="J37" s="3"/>
      <c r="K37" s="3"/>
      <c r="L37" s="3"/>
      <c r="M37" s="3"/>
      <c r="N37" s="1"/>
    </row>
    <row r="38" spans="1:14" x14ac:dyDescent="0.25">
      <c r="A38" s="3" t="s">
        <v>56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</row>
    <row r="39" spans="1:14" x14ac:dyDescent="0.25">
      <c r="A39" s="3"/>
      <c r="B39" s="3"/>
      <c r="C39" s="3" t="s">
        <v>67</v>
      </c>
      <c r="D39" s="3" t="s">
        <v>64</v>
      </c>
      <c r="E39" s="3" t="s">
        <v>65</v>
      </c>
      <c r="F39" s="3" t="s">
        <v>66</v>
      </c>
      <c r="G39" s="3"/>
      <c r="H39" s="3"/>
      <c r="I39" s="3"/>
      <c r="J39" s="3"/>
      <c r="K39" s="3"/>
      <c r="L39" s="3"/>
      <c r="M39" s="3"/>
      <c r="N39" s="1"/>
    </row>
    <row r="40" spans="1:14" x14ac:dyDescent="0.25">
      <c r="A40" s="3"/>
      <c r="B40" s="3"/>
      <c r="C40" s="3">
        <f>(F40-E40)*9.8*I22</f>
        <v>2445.5900000000024</v>
      </c>
      <c r="D40" s="3">
        <f>(C23/F20/H27*10^6)^2*(1/E40-1/F40)</f>
        <v>1941.2578367967694</v>
      </c>
      <c r="E40" s="3">
        <v>680.8</v>
      </c>
      <c r="F40" s="3">
        <v>752.1</v>
      </c>
      <c r="G40" s="3"/>
      <c r="H40" s="3"/>
      <c r="I40" s="3"/>
      <c r="J40" s="3"/>
      <c r="K40" s="3"/>
      <c r="L40" s="3"/>
      <c r="M40" s="3"/>
      <c r="N40" s="1"/>
    </row>
    <row r="41" spans="1:14" x14ac:dyDescent="0.25">
      <c r="A41" s="3" t="s">
        <v>68</v>
      </c>
      <c r="B41" s="3" t="s">
        <v>69</v>
      </c>
      <c r="C41" s="3" t="s">
        <v>70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1"/>
    </row>
    <row r="42" spans="1:14" x14ac:dyDescent="0.25">
      <c r="A42" s="3">
        <v>0.26</v>
      </c>
      <c r="B42" s="3">
        <v>0.26</v>
      </c>
      <c r="C42" s="3">
        <v>0.45</v>
      </c>
      <c r="D42" s="3"/>
      <c r="E42" s="3" t="s">
        <v>71</v>
      </c>
      <c r="F42" s="3" t="s">
        <v>72</v>
      </c>
      <c r="G42" s="3"/>
      <c r="H42" s="3"/>
      <c r="I42" s="3"/>
      <c r="J42" s="3"/>
      <c r="K42" s="3"/>
      <c r="L42" s="3"/>
      <c r="M42" s="3"/>
      <c r="N42" s="1"/>
    </row>
    <row r="43" spans="1:14" x14ac:dyDescent="0.25">
      <c r="A43" s="3"/>
      <c r="B43" s="3"/>
      <c r="C43" s="3"/>
      <c r="D43" s="3"/>
      <c r="E43" s="3">
        <f>(C23/F20/H27*10^6)^2/2*(A42/F40+B42/E40+13*C42/E37)</f>
        <v>61706.340165020214</v>
      </c>
      <c r="F43" s="3">
        <f>E43+D40+C40+D37</f>
        <v>79726.634398475682</v>
      </c>
      <c r="G43" s="3"/>
      <c r="H43" s="3"/>
      <c r="I43" s="3"/>
      <c r="J43" s="3"/>
      <c r="K43" s="3"/>
      <c r="L43" s="3"/>
      <c r="M43" s="3"/>
      <c r="N43" s="1"/>
    </row>
    <row r="44" spans="1:1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"/>
    </row>
    <row r="45" spans="1:14" x14ac:dyDescent="0.25">
      <c r="A45" s="1"/>
      <c r="B45" s="1"/>
      <c r="C45" s="1"/>
      <c r="D45" s="1" t="s">
        <v>75</v>
      </c>
      <c r="E45" s="1" t="s">
        <v>74</v>
      </c>
      <c r="F45" s="1"/>
      <c r="G45" s="1" t="s">
        <v>73</v>
      </c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>
        <f>1000*10^6</f>
        <v>1000000000</v>
      </c>
      <c r="E46" s="1">
        <f>(D46-G46)/B20</f>
        <v>0.36912241620713837</v>
      </c>
      <c r="F46" s="1"/>
      <c r="G46" s="1">
        <f>F20*F43*B23/0.8/F40</f>
        <v>1936661.9051598697</v>
      </c>
      <c r="H46" s="1"/>
      <c r="I46" s="1"/>
      <c r="J46" s="1"/>
      <c r="K46" s="1"/>
      <c r="L46" s="2"/>
      <c r="M46" s="2"/>
      <c r="N46" s="2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Панин</dc:creator>
  <cp:lastModifiedBy>Максим Панин</cp:lastModifiedBy>
  <dcterms:created xsi:type="dcterms:W3CDTF">2021-02-03T15:17:45Z</dcterms:created>
  <dcterms:modified xsi:type="dcterms:W3CDTF">2021-02-12T16:41:33Z</dcterms:modified>
</cp:coreProperties>
</file>