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Model!$C$25:$C$159</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Valuation!$F$132</definedName>
    <definedName name="NTM_EPS">Valuation!$F$131</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Needs review: one or more historical periods were left unchanged because no matching EDGAR fact was found.</t>
        </r>
      </text>
    </comment>
    <comment ref="C32" authorId="0">
      <text>
        <r>
          <rPr>
            <b/>
          </rPr>
          <t xml:space="preserve">EDGAR Mapper:
</t>
        </r>
        <r>
          <t>Needs review: one or more historical periods were left unchanged because no matching EDGAR fact was found.</t>
        </r>
      </text>
    </comment>
    <comment ref="C33" authorId="0">
      <text>
        <r>
          <rPr>
            <b/>
          </rPr>
          <t xml:space="preserve">EDGAR Mapper:
</t>
        </r>
        <r>
          <t>Needs review: one or more historical periods were left unchanged because no matching EDGAR fact was found.</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Needs review: consolidated D&amp;A is often a cash-flow disclosure and was not overwritten into the income statement unless explicitly included in an operating expense row.</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Needs review: one or more historical periods were left unchanged because no matching EDGAR fact was found.</t>
        </r>
      </text>
    </comment>
    <comment ref="F35" authorId="0">
      <text>
        <r>
          <rPr>
            <b/>
          </rPr>
          <t xml:space="preserve">EDGAR Mapper:
</t>
        </r>
        <r>
          <t>Calculated as the residual needed for the Income Statement EBIT formula to tie to EDGAR pre-tax operating income.</t>
        </r>
      </text>
    </comment>
    <comment ref="G35" authorId="0">
      <text>
        <r>
          <rPr>
            <b/>
          </rPr>
          <t xml:space="preserve">EDGAR Mapper:
</t>
        </r>
        <r>
          <t>Calculated as the residual needed for the Income Statement EBIT formula to tie to EDGAR pre-tax operating income.</t>
        </r>
      </text>
    </comment>
    <comment ref="H35" authorId="0">
      <text>
        <r>
          <rPr>
            <b/>
          </rPr>
          <t xml:space="preserve">EDGAR Mapper:
</t>
        </r>
        <r>
          <t>Calculated as the residual needed for the Income Statement EBIT formula to tie to EDGAR pre-tax operating income.</t>
        </r>
      </text>
    </comment>
    <comment ref="I35" authorId="0">
      <text>
        <r>
          <rPr>
            <b/>
          </rPr>
          <t xml:space="preserve">EDGAR Mapper:
</t>
        </r>
        <r>
          <t>Calculated as the residual needed for the Income Statement EBIT formula to tie to EDGAR pre-tax operating income.</t>
        </r>
      </text>
    </comment>
    <comment ref="K35" authorId="0">
      <text>
        <r>
          <rPr>
            <b/>
          </rPr>
          <t xml:space="preserve">EDGAR Mapper:
</t>
        </r>
        <r>
          <t>Calculated as the residual needed for the Income Statement EBIT formula to tie to EDGAR pre-tax operating income.</t>
        </r>
      </text>
    </comment>
    <comment ref="L35" authorId="0">
      <text>
        <r>
          <rPr>
            <b/>
          </rPr>
          <t xml:space="preserve">EDGAR Mapper:
</t>
        </r>
        <r>
          <t>Calculated as the residual needed for the Income Statement EBIT formula to tie to EDGAR pre-tax operating income.</t>
        </r>
      </text>
    </comment>
    <comment ref="M35" authorId="0">
      <text>
        <r>
          <rPr>
            <b/>
          </rPr>
          <t xml:space="preserve">EDGAR Mapper:
</t>
        </r>
        <r>
          <t>Calculated as the residual needed for the Income Statement EBIT formula to tie to EDGAR pre-tax operating income.</t>
        </r>
      </text>
    </comment>
    <comment ref="N35" authorId="0">
      <text>
        <r>
          <rPr>
            <b/>
          </rPr>
          <t xml:space="preserve">EDGAR Mapper:
</t>
        </r>
        <r>
          <t>Calculated as the residual needed for the Income Statement EBIT formula to tie to EDGAR pre-tax operating income.</t>
        </r>
      </text>
    </comment>
    <comment ref="P35" authorId="0">
      <text>
        <r>
          <rPr>
            <b/>
          </rPr>
          <t xml:space="preserve">EDGAR Mapper:
</t>
        </r>
        <r>
          <t>Calculated as the residual needed for the Income Statement EBIT formula to tie to EDGAR pre-tax operating income.</t>
        </r>
      </text>
    </comment>
    <comment ref="Q35" authorId="0">
      <text>
        <r>
          <rPr>
            <b/>
          </rPr>
          <t xml:space="preserve">EDGAR Mapper:
</t>
        </r>
        <r>
          <t>Calculated as the residual needed for the Income Statement EBIT formula to tie to EDGAR pre-tax operating income.</t>
        </r>
      </text>
    </comment>
    <comment ref="R35" authorId="0">
      <text>
        <r>
          <rPr>
            <b/>
          </rPr>
          <t xml:space="preserve">EDGAR Mapper:
</t>
        </r>
        <r>
          <t>Calculated as the residual needed for the Income Statement EBIT formula to tie to EDGAR pre-tax operating income.</t>
        </r>
      </text>
    </comment>
    <comment ref="S35" authorId="0">
      <text>
        <r>
          <rPr>
            <b/>
          </rPr>
          <t xml:space="preserve">EDGAR Mapper:
</t>
        </r>
        <r>
          <t>Calculated as the residual needed for the Income Statement EBIT formula to tie to EDGAR pre-tax operating income.</t>
        </r>
      </text>
    </comment>
    <comment ref="U35" authorId="0">
      <text>
        <r>
          <rPr>
            <b/>
          </rPr>
          <t xml:space="preserve">EDGAR Mapper:
</t>
        </r>
        <r>
          <t>Calculated as the residual needed for the Income Statement EBIT formula to tie to EDGAR pre-tax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mapping:
Source: 10-Q, accession #0000070318-24-000032, filed 2024-04-30
Period: 1Q23 / period ended 2023-03-31
Model row: Model!39 Interest (Expense)
Mapping type: direct
Concepts used: InterestExpense = 221 mm
Unit conversion: raw USD to $mm
Sign: copied using model sign convention
Confidence: high
Value written: -221
Notes: Included SEC interest expense, including operating interest expense when that is the company's presentation.</t>
        </r>
      </text>
    </comment>
    <comment ref="G39" authorId="0">
      <text>
        <r>
          <rPr>
            <b/>
          </rPr>
          <t xml:space="preserve">EDGAR Mapper:
</t>
        </r>
        <r>
          <t xml:space="preserve">EDGAR mapping:
Source: 10-Q, accession #0000070318-23-000041, filed 2023-07-31
Period: 2Q23 / period ended 2023-06-30
Model row: Model!39 Interest (Expense)
Mapping type: direct
Concepts used: InterestExpense = 226 mm
Unit conversion: raw USD to $mm
Sign: copied using model sign convention
Confidence: high
Value written: -226
Notes: Included SEC interest expense, including operating interest expense when that is the company's presentation.</t>
        </r>
      </text>
    </comment>
    <comment ref="H39" authorId="0">
      <text>
        <r>
          <rPr>
            <b/>
          </rPr>
          <t xml:space="preserve">EDGAR Mapper:
</t>
        </r>
        <r>
          <t xml:space="preserve">EDGAR mapping:
Source: 10-Q, accession #0000070318-23-000055, filed 2023-10-30
Period: 3Q23 / period ended 2023-09-30
Model row: Model!39 Interest (Expense)
Mapping type: direct
Concepts used: InterestExpense = 227 mm
Unit conversion: raw USD to $mm
Sign: copied using model sign convention
Confidence: high
Value written: -227
Notes: Included SEC interest expense, including operating interest expense when that is the company's presentation.</t>
        </r>
      </text>
    </comment>
    <comment ref="K39" authorId="0">
      <text>
        <r>
          <rPr>
            <b/>
          </rPr>
          <t xml:space="preserve">EDGAR Mapper:
</t>
        </r>
        <r>
          <t xml:space="preserve">EDGAR mapping:
Source: 10-Q, accession #0000070318-24-000032, filed 2024-04-30
Period: 1Q24 / period ended 2024-03-31
Model row: Model!39 Interest (Expense)
Mapping type: direct
Concepts used: InterestExpense = 218 mm
Unit conversion: raw USD to $mm
Sign: copied using model sign convention
Confidence: high
Value written: -218
Notes: Included SEC interest expense, including operating interest expense when that is the company's presentation.</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Quarterly value was derived from Other Nonoperating Income (Expense) less 1Q23, 2Q23, 3Q23. Quarterly value was derived from Other Nonoperating Income (Expense) less 1Q24, 2Q24, 3Q24. Needs review: one or more historical periods were left unchanged because no matching EDGAR fact was found.</t>
        </r>
      </text>
    </comment>
    <comment ref="F41" authorId="0">
      <text>
        <r>
          <rPr>
            <b/>
          </rPr>
          <t xml:space="preserve">EDGAR Mapper:
</t>
        </r>
        <r>
          <t xml:space="preserve">EDGAR mapping:
Source: 10-Q, accession #0000070318-24-000032, filed 2024-04-30
Period: 1Q23 / period ended 2023-03-31
Model row: Model!41 Other Non-Operating Income (Expense)
Mapping type: direct
Concepts used: OtherNonoperatingIncomeExpense = -2 mm
Unit conversion: raw USD to $mm
Sign: copied using model sign convention
Confidence: high
Value written: -2</t>
        </r>
      </text>
    </comment>
    <comment ref="G41" authorId="0">
      <text>
        <r>
          <rPr>
            <b/>
          </rPr>
          <t xml:space="preserve">EDGAR Mapper:
</t>
        </r>
        <r>
          <t xml:space="preserve">EDGAR mapping:
Source: 10-Q, accession #0000070318-24-000041, filed 2024-07-30
Period: 2Q23 / period ended 2023-06-30
Model row: Model!41 Other Non-Operating Income (Expense)
Mapping type: direct
Concepts used: OtherNonoperatingIncomeExpense = 6 mm
Unit conversion: raw USD to $mm
Sign: copied using model sign convention
Confidence: high
Value written: 6</t>
        </r>
      </text>
    </comment>
    <comment ref="H41" authorId="0">
      <text>
        <r>
          <rPr>
            <b/>
          </rPr>
          <t xml:space="preserve">EDGAR Mapper:
</t>
        </r>
        <r>
          <t xml:space="preserve">EDGAR mapping:
Source: 10-Q, accession #0000070318-24-000052, filed 2024-10-29
Period: 3Q23 / period ended 2023-09-30
Model row: Model!41 Other Non-Operating Income (Expense)
Mapping type: direct
Concepts used: OtherNonoperatingIncomeExpense = 4 mm
Unit conversion: raw USD to $mm
Sign: copied using model sign convention
Confidence: high
Value written: 4</t>
        </r>
      </text>
    </comment>
    <comment ref="I41" authorId="0">
      <text>
        <r>
          <rPr>
            <b/>
          </rPr>
          <t xml:space="preserve">EDGAR Mapper:
</t>
        </r>
        <r>
          <t xml:space="preserve">EDGAR mapping:
Source: SEC filing
Period: 4Q23
Model row: Model!41 Other Non-Operating Income (Expense)
Mapping type: direct
Concepts used: OtherNonoperatingIncomeExpense = 11 mm
Unit conversion: raw USD to $mm
Sign: copied using model sign convention
Confidence: high
Value written: 11
Notes: Quarterly value was derived from Other Nonoperating Income (Expense) less 1Q23, 2Q23, 3Q23.</t>
        </r>
      </text>
    </comment>
    <comment ref="K41" authorId="0">
      <text>
        <r>
          <rPr>
            <b/>
          </rPr>
          <t xml:space="preserve">EDGAR Mapper:
</t>
        </r>
        <r>
          <t xml:space="preserve">EDGAR mapping:
Source: 10-Q, accession #0000070318-25-000017, filed 2025-04-29
Period: 1Q24 / period ended 2024-03-31
Model row: Model!41 Other Non-Operating Income (Expense)
Mapping type: direct
Concepts used: OtherNonoperatingIncomeExpense = 25 mm
Unit conversion: raw USD to $mm
Sign: copied using model sign convention
Confidence: high
Value written: 25</t>
        </r>
      </text>
    </comment>
    <comment ref="L41" authorId="0">
      <text>
        <r>
          <rPr>
            <b/>
          </rPr>
          <t xml:space="preserve">EDGAR Mapper:
</t>
        </r>
        <r>
          <t xml:space="preserve">EDGAR mapping:
Source: 10-Q, accession #0000070318-25-000039, filed 2025-07-30
Period: 2Q24 / period ended 2024-06-30
Model row: Model!41 Other Non-Operating Income (Expense)
Mapping type: direct
Concepts used: OtherNonoperatingIncomeExpense = 29 mm
Unit conversion: raw USD to $mm
Sign: copied using model sign convention
Confidence: high
Value written: 29</t>
        </r>
      </text>
    </comment>
    <comment ref="M41" authorId="0">
      <text>
        <r>
          <rPr>
            <b/>
          </rPr>
          <t xml:space="preserve">EDGAR Mapper:
</t>
        </r>
        <r>
          <t xml:space="preserve">EDGAR mapping:
Source: 10-Q, accession #0000070318-25-000046, filed 2025-10-28
Period: 3Q24 / period ended 2024-09-30
Model row: Model!41 Other Non-Operating Income (Expense)
Mapping type: direct
Concepts used: OtherNonoperatingIncomeExpense = 35 mm
Unit conversion: raw USD to $mm
Sign: copied using model sign convention
Confidence: high
Value written: 35</t>
        </r>
      </text>
    </comment>
    <comment ref="N41" authorId="0">
      <text>
        <r>
          <rPr>
            <b/>
          </rPr>
          <t xml:space="preserve">EDGAR Mapper:
</t>
        </r>
        <r>
          <t xml:space="preserve">EDGAR mapping:
Source: SEC filing
Period: 4Q24
Model row: Model!41 Other Non-Operating Income (Expense)
Mapping type: direct
Concepts used: OtherNonoperatingIncomeExpense = 37 mm
Unit conversion: raw USD to $mm
Sign: copied using model sign convention
Confidence: high
Value written: 37
Notes: Quarterly value was derived from Other Nonoperating Income (Expense) less 1Q24, 2Q24, 3Q24.</t>
        </r>
      </text>
    </comment>
    <comment ref="P41" authorId="0">
      <text>
        <r>
          <rPr>
            <b/>
          </rPr>
          <t xml:space="preserve">EDGAR Mapper:
</t>
        </r>
        <r>
          <t xml:space="preserve">EDGAR mapping:
Source: 10-Q, accession #0000070318-26-000026, filed 2026-04-30
Period: 1Q25 / period ended 2025-03-31
Model row: Model!41 Other Non-Operating Income (Expense)
Mapping type: direct
Concepts used: OtherNonoperatingIncomeExpense = 26 mm
Unit conversion: raw USD to $mm
Sign: copied using model sign convention
Confidence: high
Value written: 26</t>
        </r>
      </text>
    </comment>
    <comment ref="Q41" authorId="0">
      <text>
        <r>
          <rPr>
            <b/>
          </rPr>
          <t xml:space="preserve">EDGAR Mapper:
</t>
        </r>
        <r>
          <t xml:space="preserve">EDGAR mapping:
Source: 10-Q, accession #0000070318-25-000039, filed 2025-07-30
Period: 2Q25 / period ended 2025-06-30
Model row: Model!41 Other Non-Operating Income (Expense)
Mapping type: direct
Concepts used: OtherNonoperatingIncomeExpense = 25 mm
Unit conversion: raw USD to $mm
Sign: copied using model sign convention
Confidence: high
Value written: 25</t>
        </r>
      </text>
    </comment>
    <comment ref="R41" authorId="0">
      <text>
        <r>
          <rPr>
            <b/>
          </rPr>
          <t xml:space="preserve">EDGAR Mapper:
</t>
        </r>
        <r>
          <t xml:space="preserve">======
ID#AAABbnJBV08
Microsoft Office User    (2025-01-14 21:09:38)
Brian Otaszewski: Loss on extinguishment of debt
EDGAR Mapper:
EDGAR mapping:
Source: 10-Q, accession #0000070318-25-000046, filed 2025-10-28
Period: 3Q25 / period ended 2025-09-30
Model row: Model!41 Other Non-Operating Income (Expense)
Mapping type: direct
Concepts used: OtherNonoperatingIncomeExpense = 29 mm
Unit conversion: raw USD to $mm
Sign: copied using model sign convention
Confidence: high
Value written: 29</t>
        </r>
      </text>
    </comment>
    <comment ref="U41" authorId="0">
      <text>
        <r>
          <rPr>
            <b/>
          </rPr>
          <t xml:space="preserve">EDGAR Mapper:
</t>
        </r>
        <r>
          <t xml:space="preserve">EDGAR mapping:
Source: 10-Q, accession #0000070318-26-000026, filed 2026-04-30
Period: 1Q26 / period ended 2026-03-31
Model row: Model!41 Other Non-Operating Income (Expense)
Mapping type: direct
Concepts used: OtherNonoperatingIncomeExpense = 41 mm
Unit conversion: raw USD to $mm
Sign: copied using model sign convention
Confidence: high
Value written: 41</t>
        </r>
      </text>
    </comment>
    <comment ref="C44" authorId="0">
      <text>
        <r>
          <rPr>
            <b/>
          </rPr>
          <t xml:space="preserve">EDGAR Mapper:
</t>
        </r>
        <r>
          <t>Mapped to EDGAR income tax expense/benefit using the model's negative-expense sign convention. Quarterly value was derived from Income Tax Expense (Benefit) less 1Q24, 2Q24, 3Q24. Mapped to EDGAR income tax expense/benefit using the model's negative-expense sign convention. Quarterly value was derived from Income Tax Expense (Benefit) less 1Q25, 2Q25, 3Q25. Needs review: one or more historical periods were left unchanged because no matching EDGAR fact was found.</t>
        </r>
      </text>
    </comment>
    <comment ref="F44" authorId="0">
      <text>
        <r>
          <rPr>
            <b/>
          </rPr>
          <t xml:space="preserve">EDGAR Mapper:
</t>
        </r>
        <r>
          <t xml:space="preserve">EDGAR mapping:
Source: 10-Q, accession #0000070318-24-000032, filed 2024-04-30
Period: 1Q23 / period ended 2023-03-31
Model row: Model!44 Income Tax Benefit (Expense)
Mapping type: direct
Concepts used: IncomeTaxExpenseBenefit = 84 mm
Unit conversion: raw USD to $mm
Sign: copied using model sign convention
Confidence: high
Value written: -84
Notes: Mapped to EDGAR income tax expense/benefit using the model's negative-expense sign convention.</t>
        </r>
      </text>
    </comment>
    <comment ref="G44" authorId="0">
      <text>
        <r>
          <rPr>
            <b/>
          </rPr>
          <t xml:space="preserve">EDGAR Mapper:
</t>
        </r>
        <r>
          <t xml:space="preserve">EDGAR mapping:
Source: 10-Q, accession #0000070318-24-000041, filed 2024-07-30
Period: 2Q23 / period ended 2023-06-30
Model row: Model!44 Income Tax Benefit (Expense)
Mapping type: direct
Concepts used: IncomeTaxExpenseBenefit = 80 mm
Unit conversion: raw USD to $mm
Sign: copied using model sign convention
Confidence: high
Value written: -80
Notes: Mapped to EDGAR income tax expense/benefit using the model's negative-expense sign convention.
EDGAR Mapper:
Calculated as the residual needed for the model's net income formula to tie to EDGAR net income.</t>
        </r>
      </text>
    </comment>
    <comment ref="H44" authorId="0">
      <text>
        <r>
          <rPr>
            <b/>
          </rPr>
          <t xml:space="preserve">EDGAR Mapper:
</t>
        </r>
        <r>
          <t xml:space="preserve">EDGAR mapping:
Source: 10-Q, accession #0000070318-24-000052, filed 2024-10-29
Period: 3Q23 / period ended 2023-09-30
Model row: Model!44 Income Tax Benefit (Expense)
Mapping type: direct
Concepts used: IncomeTaxExpenseBenefit = 79 mm
Unit conversion: raw USD to $mm
Sign: copied using model sign convention
Confidence: high
Value written: -79
Notes: Mapped to EDGAR income tax expense/benefit using the model's negative-expense sign convention.</t>
        </r>
      </text>
    </comment>
    <comment ref="I44" authorId="0">
      <text>
        <r>
          <rPr>
            <b/>
          </rPr>
          <t xml:space="preserve">EDGAR Mapper:
</t>
        </r>
        <r>
          <t>Calculated as the residual needed for the model's net income formula to tie to EDGAR net income.</t>
        </r>
      </text>
    </comment>
    <comment ref="K44" authorId="0">
      <text>
        <r>
          <rPr>
            <b/>
          </rPr>
          <t xml:space="preserve">EDGAR Mapper:
</t>
        </r>
        <r>
          <t xml:space="preserve">EDGAR mapping:
Source: 10-Q, accession #0000070318-25-000017, filed 2025-04-29
Period: 1Q24 / period ended 2024-03-31
Model row: Model!44 Income Tax Benefit (Expense)
Mapping type: direct
Concepts used: IncomeTaxExpenseBenefit = 750 mm
Unit conversion: raw USD to $mm
Sign: copied using model sign convention
Confidence: high
Value written: -750
Notes: Mapped to EDGAR income tax expense/benefit using the model's negative-expense sign convention.</t>
        </r>
      </text>
    </comment>
    <comment ref="L44" authorId="0">
      <text>
        <r>
          <rPr>
            <b/>
          </rPr>
          <t xml:space="preserve">EDGAR Mapper:
</t>
        </r>
        <r>
          <t xml:space="preserve">EDGAR mapping:
Source: 10-Q, accession #0000070318-25-000039, filed 2025-07-30
Period: 2Q24 / period ended 2024-06-30
Model row: Model!44 Income Tax Benefit (Expense)
Mapping type: direct
Concepts used: IncomeTaxExpenseBenefit = 110 mm
Unit conversion: raw USD to $mm
Sign: copied using model sign convention
Confidence: high
Value written: -110
Notes: Mapped to EDGAR income tax expense/benefit using the model's negative-expense sign convention.</t>
        </r>
      </text>
    </comment>
    <comment ref="M44" authorId="0">
      <text>
        <r>
          <rPr>
            <b/>
          </rPr>
          <t xml:space="preserve">EDGAR Mapper:
</t>
        </r>
        <r>
          <t xml:space="preserve">EDGAR mapping:
Source: 10-Q, accession #0000070318-25-000046, filed 2025-10-28
Period: 3Q24 / period ended 2024-09-30
Model row: Model!44 Income Tax Benefit (Expense)
Mapping type: direct
Concepts used: IncomeTaxExpenseBenefit = 241 mm
Unit conversion: raw USD to $mm
Sign: copied using model sign convention
Confidence: high
Value written: -241
Notes: Mapped to EDGAR income tax expense/benefit using the model's negative-expense sign convention.</t>
        </r>
      </text>
    </comment>
    <comment ref="N44" authorId="0">
      <text>
        <r>
          <rPr>
            <b/>
          </rPr>
          <t xml:space="preserve">EDGAR Mapper:
</t>
        </r>
        <r>
          <t xml:space="preserve">EDGAR mapping:
Source: SEC filing
Period: 4Q24
Model row: Model!44 Income Tax Benefit (Expense)
Mapping type: direct
Concepts used: IncomeTaxExpenseBenefit = 83 mm
Unit conversion: raw USD to $mm
Sign: copied using model sign convention
Confidence: high
Value written: -83
Notes: Mapped to EDGAR income tax expense/benefit using the model's negative-expense sign convention. Quarterly value was derived from Income Tax Expense (Benefit) less 1Q24, 2Q24, 3Q24.</t>
        </r>
      </text>
    </comment>
    <comment ref="P44" authorId="0">
      <text>
        <r>
          <rPr>
            <b/>
          </rPr>
          <t xml:space="preserve">EDGAR Mapper:
</t>
        </r>
        <r>
          <t xml:space="preserve">EDGAR mapping:
Source: 10-Q, accession #0000070318-26-000026, filed 2026-04-30
Period: 1Q25 / period ended 2025-03-31
Model row: Model!44 Income Tax Benefit (Expense)
Mapping type: direct
Concepts used: IncomeTaxExpenseBenefit = 143 mm
Unit conversion: raw USD to $mm
Sign: copied using model sign convention
Confidence: high
Value written: -143
Notes: Mapped to EDGAR income tax expense/benefit using the model's negative-expense sign convention.</t>
        </r>
      </text>
    </comment>
    <comment ref="Q44" authorId="0">
      <text>
        <r>
          <rPr>
            <b/>
          </rPr>
          <t xml:space="preserve">EDGAR Mapper:
</t>
        </r>
        <r>
          <t xml:space="preserve">EDGAR mapping:
Source: 10-Q, accession #0000070318-25-000039, filed 2025-07-30
Period: 2Q25 / period ended 2025-06-30
Model row: Model!44 Income Tax Benefit (Expense)
Mapping type: direct
Concepts used: IncomeTaxExpenseBenefit = 120 mm
Unit conversion: raw USD to $mm
Sign: copied using model sign convention
Confidence: high
Value written: -120
Notes: Mapped to EDGAR income tax expense/benefit using the model's negative-expense sign convention.</t>
        </r>
      </text>
    </comment>
    <comment ref="R44" authorId="0">
      <text>
        <r>
          <rPr>
            <b/>
          </rPr>
          <t xml:space="preserve">EDGAR Mapper:
</t>
        </r>
        <r>
          <t xml:space="preserve">EDGAR mapping:
Source: 10-Q, accession #0000070318-25-000046, filed 2025-10-28
Period: 3Q25 / period ended 2025-09-30
Model row: Model!44 Income Tax Benefit (Expense)
Mapping type: direct
Concepts used: IncomeTaxExpenseBenefit = 133 mm
Unit conversion: raw USD to $mm
Sign: copied using model sign convention
Confidence: high
Value written: -133
Notes: Mapped to EDGAR income tax expense/benefit using the model's negative-expense sign convention.</t>
        </r>
      </text>
    </comment>
    <comment ref="S44" authorId="0">
      <text>
        <r>
          <rPr>
            <b/>
          </rPr>
          <t xml:space="preserve">EDGAR Mapper:
</t>
        </r>
        <r>
          <t xml:space="preserve">EDGAR mapping:
Source: SEC filing
Period: 4Q25
Model row: Model!44 Income Tax Benefit (Expense)
Mapping type: direct
Concepts used: IncomeTaxExpenseBenefit = 37 mm
Unit conversion: raw USD to $mm
Sign: copied using model sign convention
Confidence: high
Value written: -37
Notes: Mapped to EDGAR income tax expense/benefit using the model's negative-expense sign convention. Quarterly value was derived from Income Tax Expense (Benefit) less 1Q25, 2Q25, 3Q25.</t>
        </r>
      </text>
    </comment>
    <comment ref="U44" authorId="0">
      <text>
        <r>
          <rPr>
            <b/>
          </rPr>
          <t xml:space="preserve">EDGAR Mapper:
</t>
        </r>
        <r>
          <t xml:space="preserve">EDGAR mapping:
Source: 10-Q, accession #0000070318-26-000026, filed 2026-04-30
Period: 1Q26 / period ended 2026-03-31
Model row: Model!44 Income Tax Benefit (Expense)
Mapping type: direct
Concepts used: IncomeTaxExpenseBenefit = 226 mm
Unit conversion: raw USD to $mm
Sign: copied using model sign convention
Confidence: high
Value written: -226
Notes: Mapped to EDGAR income tax expense/benefit using the model's negative-expense sign convention.</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Needs review: one or more historical periods were left unchanged because no matching EDGAR fact was found.</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rPr>
            <color theme="1"/>
            <scheme val="minor"/>
            <sz val="11"/>
            <rFont val="Calibri"/>
          </rP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rPr>
            <color theme="1"/>
            <scheme val="minor"/>
            <sz val="11"/>
            <rFont val="Calibri"/>
          </rPr>
          <t xml:space="preserve">======
ID#AAABbnJBV1o
Lilianna Ruby    (2025-01-14 21:09:38)
Mexico adjustments</t>
        </r>
      </text>
    </comment>
    <comment ref="L48" authorId="0">
      <text>
        <r>
          <rPr>
            <color theme="1"/>
            <scheme val="minor"/>
            <sz val="11"/>
            <rFont val="Calibri"/>
          </rPr>
          <t xml:space="preserve">======
ID#AAABbnJBV1A
Lilianna Ruby    (2025-01-14 21:09:38)
Mexico adjustments</t>
        </r>
      </text>
    </comment>
    <comment ref="M48" authorId="0">
      <text>
        <r>
          <rPr>
            <color theme="1"/>
            <scheme val="minor"/>
            <sz val="11"/>
            <rFont val="Calibri"/>
          </rPr>
          <t xml:space="preserve">======
ID#AAABbnJBVy0
Lilianna Ruby    (2025-01-14 21:09:38)
2019 Canada restructuring</t>
        </r>
      </text>
    </comment>
    <comment ref="N48" authorId="0">
      <text>
        <r>
          <rPr>
            <color theme="1"/>
            <scheme val="minor"/>
            <sz val="11"/>
            <rFont val="Calibri"/>
          </rPr>
          <t xml:space="preserve">======
ID#AAABbnJBV1g
Lilianna Ruby    (2025-01-14 21:09:38)
Mexico adjustments and 2019 Canada restructuring</t>
        </r>
      </text>
    </comment>
    <comment ref="P48" authorId="0">
      <text>
        <r>
          <rPr>
            <color theme="1"/>
            <scheme val="minor"/>
            <sz val="11"/>
            <rFont val="Calibri"/>
          </rPr>
          <t xml:space="preserve">======
ID#AAABbnJBVzs
Lilianna Ruby    (2025-01-14 21:09:38)
Canada restructuring</t>
        </r>
      </text>
    </comment>
    <comment ref="Q48" authorId="0">
      <text>
        <r>
          <rPr>
            <color theme="1"/>
            <scheme val="minor"/>
            <sz val="11"/>
            <rFont val="Calibri"/>
          </rPr>
          <t xml:space="preserve">======
ID#AAABbnJBVx8
Lilianna Ruby    (2025-01-14 21:09:38)
Canada restructuring</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Needs review: one or more historical periods were left unchanged because no matching EDGAR fact was found.</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U49" authorId="0">
      <text>
        <r>
          <rPr>
            <b/>
          </rPr>
          <t xml:space="preserve">EDGAR Mapper:
</t>
        </r>
        <r>
          <t xml:space="preserve">EDGAR mapping:
Source: SEC filing
Period: 1Q26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V49" authorId="0">
      <text>
        <r>
          <rPr>
            <b/>
          </rPr>
          <t xml:space="preserve">EDGAR Mapper:
</t>
        </r>
        <r>
          <t xml:space="preserve">EDGAR mapping:
Source: SEC filing
Period: 2Q26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C50" authorId="0">
      <text>
        <r>
          <rPr>
            <b/>
          </rPr>
          <t xml:space="preserve">EDGAR Mapper:
</t>
        </r>
        <r>
          <t>Grouped from EDGAR: Net Income (Loss) Attributable to Noncontrolling Interest. Mapped to EDGAR income from continuing operations attributable to non-controlling interests. Grouped from EDGAR: Net Income (Loss) Attributable to Noncontrolling Interest (derived Q4). Mapped to EDGAR income from continuing operations attributable to non-controlling interests. Quarterly value was derived from Net Income (Loss) Attributable to Noncontrolling Interest less 1Q23, 2Q23, 3Q23. Grouped from EDGAR: Net Income (Loss) Attributable to Noncontrolling Interest (derived Q4). Mapped to EDGAR income from continuing operations attributable to non-controlling interests. Quarterly value was derived from Net Income (Loss) Attributable to Noncontrolling Interest less 1Q25, 2Q25, 3Q25. Needs review: one or more historical periods were left unchanged because no matching EDGAR fact was found.</t>
        </r>
      </text>
    </comment>
    <comment ref="F50" authorId="0">
      <text>
        <r>
          <rPr>
            <b/>
          </rPr>
          <t xml:space="preserve">EDGAR Mapper:
</t>
        </r>
        <r>
          <t xml:space="preserve">EDGAR mapping:
Source: 10-Q, accession #0000070318-24-000032, filed 2024-04-30
Period: 1Q23 / period ended 2023-03-31
Model row: Model!50 Income (Loss) due to Non-Controlling Interest
Mapping type: grouped
Concepts used: NetIncomeLossAttributableToNoncontrollingInterest = 153 mm
Unit conversion: raw USD to $mm
Sign: copied using model sign convention
Confidence: high
Value written: -153
Notes: Grouped from EDGAR: Net Income (Loss)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#0000070318-24-000041, filed 2024-07-30
Period: 2Q23 / period ended 2023-06-30
Model row: Model!50 Income (Loss) due to Non-Controlling Interest
Mapping type: grouped
Concepts used: NetIncomeLossAttributableToNoncontrollingInterest = 170 mm
Unit conversion: raw USD to $mm
Sign: copied using model sign convention
Confidence: high
Value written: -170
Notes: Grouped from EDGAR: Net Income (Loss)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#0000070318-24-000052, filed 2024-10-29
Period: 3Q23 / period ended 2023-09-30
Model row: Model!50 Income (Loss) due to Non-Controlling Interest
Mapping type: grouped
Concepts used: NetIncomeLossAttributableToNoncontrollingInterest = 165 mm
Unit conversion: raw USD to $mm
Sign: copied using model sign convention
Confidence: high
Value written: -165
Notes: Grouped from EDGAR: Net Income (Loss)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NetIncomeLossAttributableToNoncontrollingInterest = 212 mm
Unit conversion: raw USD to $mm
Sign: copied using model sign convention
Confidence: high
Value written: -212
Notes: Grouped from EDGAR: Net Income (Loss) Attributable to Noncontrolling Interest (derived Q4). Mapped to EDGAR income from continuing operations attributable to non-controlling interests. Quarterly value was derived from Net Income (Loss) Attributable to Noncontrolling Interest less 1Q23, 2Q23, 3Q23.</t>
        </r>
      </text>
    </comment>
    <comment ref="P50" authorId="0">
      <text>
        <r>
          <rPr>
            <b/>
          </rPr>
          <t xml:space="preserve">EDGAR Mapper:
</t>
        </r>
        <r>
          <t xml:space="preserve">EDGAR mapping:
Source: 10-Q, accession #0000070318-26-000026, filed 2026-04-30
Period: 1Q25 / period ended 2025-03-31
Model row: Model!50 Income (Loss) due to Non-Controlling Interest
Mapping type: grouped
Concepts used: NetIncomeLossAttributableToNoncontrollingInterest = 216 mm
Unit conversion: raw USD to $mm
Sign: copied using model sign convention
Confidence: high
Value written: -216
Notes: Grouped from EDGAR: Net Income (Loss)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#0000070318-25-000039, filed 2025-07-30
Period: 2Q25 / period ended 2025-06-30
Model row: Model!50 Income (Loss) due to Non-Controlling Interest
Mapping type: grouped
Concepts used: NetIncomeLossAttributableToNoncontrollingInterest = 234 mm
Unit conversion: raw USD to $mm
Sign: copied using model sign convention
Confidence: high
Value written: -234
Notes: Grouped from EDGAR: Net Income (Loss)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#0000070318-25-000046, filed 2025-10-28
Period: 3Q25 / period ended 2025-09-30
Model row: Model!50 Income (Loss) due to Non-Controlling Interest
Mapping type: grouped
Concepts used: NetIncomeLossAttributableToNoncontrollingInterest = 237 mm
Unit conversion: raw USD to $mm
Sign: copied using model sign convention
Confidence: high
Value written: -237
Notes: Grouped from EDGAR: Net Income (Loss)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NetIncomeLossAttributableToNoncontrollingInterest = 273 mm
Unit conversion: raw USD to $mm
Sign: copied using model sign convention
Confidence: high
Value written: -273
Notes: Grouped from EDGAR: Net Income (Loss) Attributable to Noncontrolling Interest (derived Q4). Mapped to EDGAR income from continuing operations attributable to non-controlling interests. Quarterly value was derived from Net Income (Loss) Attributable to Noncontrolling Interest less 1Q25, 2Q25, 3Q25.</t>
        </r>
      </text>
    </comment>
    <comment ref="W50" authorId="0">
      <text>
        <r>
          <rPr>
            <color theme="1"/>
            <scheme val="minor"/>
            <sz val="11"/>
            <rFont val="Calibri"/>
          </rPr>
          <t xml:space="preserve">======
ID#AAABbnJBVzY
Lilianna    (2025-01-14 21:09:38)
Net earnings allocable to participating securities</t>
        </r>
      </text>
    </comment>
    <comment ref="P120" authorId="0">
      <text>
        <r>
          <rPr>
            <b/>
          </rPr>
          <t xml:space="preserve">EDGAR Mapper:
</t>
        </r>
        <r>
          <t xml:space="preserve">EDGAR mapping:
Source: 10-Q, accession #0000070318-25-000017, filed 2025-04-29
Period: 1Q25 / period ended 2025-03-31
Model row: Model!120 Cash &amp; Cash Equivalents
Mapping type: direct
Concepts used: CashAndCashEquivalentsAtCarryingValue = 2999 mm
Unit conversion: raw USD to $mm
Sign: copied using model sign convention
Confidence: high
Value written: 2999</t>
        </r>
      </text>
    </comment>
    <comment ref="Q120" authorId="0">
      <text>
        <r>
          <rPr>
            <b/>
          </rPr>
          <t xml:space="preserve">EDGAR Mapper:
</t>
        </r>
        <r>
          <t xml:space="preserve">EDGAR mapping:
Source: 10-Q, accession #0000070318-25-000039, filed 2025-07-30
Period: 2Q25 / period ended 2025-06-30
Model row: Model!120 Cash &amp; Cash Equivalents
Mapping type: direct
Concepts used: CashAndCashEquivalentsAtCarryingValue = 2625 mm
Unit conversion: raw USD to $mm
Sign: copied using model sign convention
Confidence: high
Value written: 2625</t>
        </r>
      </text>
    </comment>
    <comment ref="R120" authorId="0">
      <text>
        <r>
          <rPr>
            <b/>
          </rPr>
          <t xml:space="preserve">EDGAR Mapper:
</t>
        </r>
        <r>
          <t xml:space="preserve">EDGAR mapping:
Source: 10-Q, accession #0000070318-25-000046, filed 2025-10-28
Period: 3Q25 / period ended 2025-09-30
Model row: Model!120 Cash &amp; Cash Equivalents
Mapping type: direct
Concepts used: CashAndCashEquivalentsAtCarryingValue = 2975 mm
Unit conversion: raw USD to $mm
Sign: copied using model sign convention
Confidence: high
Value written: 2975</t>
        </r>
      </text>
    </comment>
    <comment ref="S120" authorId="0">
      <text>
        <r>
          <rPr>
            <b/>
          </rPr>
          <t xml:space="preserve">EDGAR Mapper:
</t>
        </r>
        <r>
          <t xml:space="preserve">EDGAR mapping:
Source: 10-K, accession #0000070318-26-000012, filed 2026-02-17
Period: 4Q25 / period ended 2025-12-31
Model row: Model!120 Cash &amp; Cash Equivalents
Mapping type: direct
Concepts used: CashAndCashEquivalentsAtCarryingValue = 2883 mm
Unit conversion: raw USD to $mm
Sign: copied using model sign convention
Confidence: high
Value written: 2883</t>
        </r>
      </text>
    </comment>
    <comment ref="C121" authorId="0">
      <text>
        <r>
          <rPr>
            <b/>
          </rPr>
          <t xml:space="preserve">EDGAR Mapper:
</t>
        </r>
        <r>
          <t>Grouped from EDGAR: Accounts Receivable, after Allowance for Credit Loss, Current. Grouped from EDGAR: Accounts Receivable net Current. Needs review: one or more historical periods were left unchanged because no matching EDGAR fact was found.</t>
        </r>
      </text>
    </comment>
    <comment ref="F121" authorId="0">
      <text>
        <r>
          <rPr>
            <b/>
          </rPr>
          <t xml:space="preserve">EDGAR Mapper:
</t>
        </r>
        <r>
          <t xml:space="preserve">EDGAR mapping:
Source: 10-Q, accession #0000070318-23-000019, filed 2023-04-28
Period: 1Q23 / period ended 2023-03-31
Model row: Model!121 Accounts Receivable
Mapping type: grouped
Concepts used: AccountsReceivableNetCurrent = 2883 mm
Unit conversion: raw USD to $mm
Sign: copied using model sign convention
Confidence: high
Value written: 2883
Notes: Grouped from EDGAR: Accounts Receivable, after Allowance for Credit Loss, Current.</t>
        </r>
      </text>
    </comment>
    <comment ref="G121" authorId="0">
      <text>
        <r>
          <rPr>
            <b/>
          </rPr>
          <t xml:space="preserve">EDGAR Mapper:
</t>
        </r>
        <r>
          <t xml:space="preserve">EDGAR mapping:
Source: 10-Q, accession #0000070318-23-000041, filed 2023-07-31
Period: 2Q23 / period ended 2023-06-30
Model row: Model!121 Accounts Receivable
Mapping type: grouped
Concepts used: AccountsReceivableNetCurrent = 2914 mm
Unit conversion: raw USD to $mm
Sign: copied using model sign convention
Confidence: high
Value written: 2914
Notes: Grouped from EDGAR: Accounts Receivable, after Allowance for Credit Loss, Current.</t>
        </r>
      </text>
    </comment>
    <comment ref="H121" authorId="0">
      <text>
        <r>
          <rPr>
            <b/>
          </rPr>
          <t xml:space="preserve">EDGAR Mapper:
</t>
        </r>
        <r>
          <t xml:space="preserve">EDGAR mapping:
Source: 10-Q, accession #0000070318-23-000055, filed 2023-10-30
Period: 3Q23 / period ended 2023-09-30
Model row: Model!121 Accounts Receivable
Mapping type: grouped
Concepts used: AccountsReceivableNetCurrent = 2897 mm
Unit conversion: raw USD to $mm
Sign: copied using model sign convention
Confidence: high
Value written: 2897
Notes: Grouped from EDGAR: Accounts Receivable, after Allowance for Credit Loss, Current.</t>
        </r>
      </text>
    </comment>
    <comment ref="I121" authorId="0">
      <text>
        <r>
          <rPr>
            <b/>
          </rPr>
          <t xml:space="preserve">EDGAR Mapper:
</t>
        </r>
        <r>
          <t xml:space="preserve">EDGAR mapping:
Source: 10-K, accession #0000070318-25-000009, filed 2025-02-18
Period: 4Q23 / period ended 2023-12-31
Model row: Model!121 Accounts Receivable
Mapping type: grouped
Concepts used: AccountsReceivableNetCurrent = 2914 mm
Unit conversion: raw USD to $mm
Sign: copied using model sign convention
Confidence: high
Value written: 2914
Notes: Grouped from EDGAR: Accounts Receivable, after Allowance for Credit Loss, Current.</t>
        </r>
      </text>
    </comment>
    <comment ref="K121" authorId="0">
      <text>
        <r>
          <rPr>
            <b/>
          </rPr>
          <t xml:space="preserve">EDGAR Mapper:
</t>
        </r>
        <r>
          <t xml:space="preserve">EDGAR mapping:
Source: 10-Q, accession #0000070318-24-000032, filed 2024-04-30
Period: 1Q24 / period ended 2024-03-31
Model row: Model!121 Accounts Receivable
Mapping type: grouped
Concepts used: AccountsReceivableNetCurrent = 3148 mm
Unit conversion: raw USD to $mm
Sign: copied using model sign convention
Confidence: high
Value written: 3148
Notes: Grouped from EDGAR: Accounts Receivable, after Allowance for Credit Loss, Current.</t>
        </r>
      </text>
    </comment>
    <comment ref="L121" authorId="0">
      <text>
        <r>
          <rPr>
            <b/>
          </rPr>
          <t xml:space="preserve">EDGAR Mapper:
</t>
        </r>
        <r>
          <t xml:space="preserve">EDGAR mapping:
Source: 10-Q, accession #0000070318-24-000041, filed 2024-07-30
Period: 2Q24 / period ended 2024-06-30
Model row: Model!121 Accounts Receivable
Mapping type: grouped
Concepts used: AccountsReceivableNetCurrent = 2817 mm
Unit conversion: raw USD to $mm
Sign: copied using model sign convention
Confidence: high
Value written: 2817
Notes: Grouped from EDGAR: Accounts Receivable, after Allowance for Credit Loss, Current.</t>
        </r>
      </text>
    </comment>
    <comment ref="M121" authorId="0">
      <text>
        <r>
          <rPr>
            <b/>
          </rPr>
          <t xml:space="preserve">EDGAR Mapper:
</t>
        </r>
        <r>
          <t xml:space="preserve">EDGAR mapping:
Source: 10-Q, accession #0000070318-24-000052, filed 2024-10-29
Period: 3Q24 / period ended 2024-09-30
Model row: Model!121 Accounts Receivable
Mapping type: grouped
Concepts used: AccountsReceivableNetCurrent = 2598 mm
Unit conversion: raw USD to $mm
Sign: copied using model sign convention
Confidence: high
Value written: 2598
Notes: Grouped from EDGAR: Accounts Receivable, after Allowance for Credit Loss, Current.</t>
        </r>
      </text>
    </comment>
    <comment ref="N121" authorId="0">
      <text>
        <r>
          <rPr>
            <b/>
          </rPr>
          <t xml:space="preserve">EDGAR Mapper:
</t>
        </r>
        <r>
          <t xml:space="preserve">EDGAR mapping:
Source: 10-K, accession #0000070318-26-000012, filed 2026-02-17
Period: 4Q24 / period ended 2024-12-31
Model row: Model!121 Accounts Receivable
Mapping type: grouped
Concepts used: AccountsReceivableNetCurrent = 2536 mm
Unit conversion: raw USD to $mm
Sign: copied using model sign convention
Confidence: high
Value written: 2536
Notes: Grouped from EDGAR: Accounts Receivable, after Allowance for Credit Loss, Current.</t>
        </r>
      </text>
    </comment>
    <comment ref="P121" authorId="0">
      <text>
        <r>
          <rPr>
            <b/>
          </rPr>
          <t xml:space="preserve">EDGAR Mapper:
</t>
        </r>
        <r>
          <t xml:space="preserve">EDGAR mapping:
Source: 10-Q, accession #0000070318-25-000017, filed 2025-04-29
Period: 1Q25 / period ended 2025-03-31
Model row: Model!121 Accounts Receivable
Mapping type: grouped
Concepts used: AccountsReceivableNetCurrent = 2619 mm
Unit conversion: raw USD to $mm
Sign: copied using model sign convention
Confidence: high
Value written: 2619
Notes: Grouped from EDGAR: Accounts Receivable, after Allowance for Credit Loss, Current.</t>
        </r>
      </text>
    </comment>
    <comment ref="Q121" authorId="0">
      <text>
        <r>
          <rPr>
            <b/>
          </rPr>
          <t xml:space="preserve">EDGAR Mapper:
</t>
        </r>
        <r>
          <t xml:space="preserve">EDGAR mapping:
Source: 10-Q, accession #0000070318-25-000039, filed 2025-07-30
Period: 2Q25 / period ended 2025-06-30
Model row: Model!121 Accounts Receivable
Mapping type: grouped
Concepts used: AccountsReceivableNetCurrent = 2533 mm
Unit conversion: raw USD to $mm
Sign: copied using model sign convention
Confidence: high
Value written: 2533
Notes: Grouped from EDGAR: Accounts Receivable, after Allowance for Credit Loss, Current.</t>
        </r>
      </text>
    </comment>
    <comment ref="R121" authorId="0">
      <text>
        <r>
          <rPr>
            <b/>
          </rPr>
          <t xml:space="preserve">EDGAR Mapper:
</t>
        </r>
        <r>
          <t xml:space="preserve">EDGAR mapping:
Source: 10-Q, accession #0000070318-25-000046, filed 2025-10-28
Period: 3Q25 / period ended 2025-09-30
Model row: Model!121 Accounts Receivable
Mapping type: grouped
Concepts used: AccountsReceivableNetCurrent = 2518 mm
Unit conversion: raw USD to $mm
Sign: copied using model sign convention
Confidence: high
Value written: 2518
Notes: Grouped from EDGAR: Accounts Receivable, after Allowance for Credit Loss, Current.</t>
        </r>
      </text>
    </comment>
    <comment ref="S121" authorId="0">
      <text>
        <r>
          <rPr>
            <b/>
          </rPr>
          <t xml:space="preserve">EDGAR Mapper:
</t>
        </r>
        <r>
          <t xml:space="preserve">EDGAR mapping:
Source: 10-K, accession #0000070318-26-000012, filed 2026-02-17
Period: 4Q25 / period ended 2025-12-31
Model row: Model!121 Accounts Receivable
Mapping type: grouped
Concepts used: AccountsReceivableNetCurrent = 2565 mm
Unit conversion: raw USD to $mm
Sign: copied using model sign convention
Confidence: high
Value written: 2565
Notes: Grouped from EDGAR: Accounts Receivable net Current.</t>
        </r>
      </text>
    </comment>
    <comment ref="U121" authorId="0">
      <text>
        <r>
          <rPr>
            <b/>
          </rPr>
          <t xml:space="preserve">EDGAR Mapper:
</t>
        </r>
        <r>
          <t xml:space="preserve">EDGAR mapping:
Source: 10-Q, accession #0000070318-26-000026, filed 2026-04-30
Period: 1Q26 / period ended 2026-03-31
Model row: Model!121 Accounts Receivable
Mapping type: grouped
Concepts used: AccountsReceivableNetCurrent = 2605 mm
Unit conversion: raw USD to $mm
Sign: copied using model sign convention
Confidence: high
Value written: 2605
Notes: Grouped from EDGAR: Accounts Receivable, after Allowance for Credit Loss, Current.</t>
        </r>
      </text>
    </comment>
    <comment ref="C122" authorId="0">
      <text>
        <r>
          <rPr>
            <b/>
          </rPr>
          <t xml:space="preserve">EDGAR Mapper:
</t>
        </r>
        <r>
          <t>Needs review: one or more historical periods were left unchanged because no matching EDGAR fact was found.</t>
        </r>
      </text>
    </comment>
    <comment ref="F122" authorId="0">
      <text>
        <r>
          <rPr>
            <b/>
          </rPr>
          <t xml:space="preserve">EDGAR Mapper:
</t>
        </r>
        <r>
          <t xml:space="preserve">EDGAR mapping:
Source: 10-Q, accession #0000070318-23-000019, filed 2023-04-28
Period: 1Q23 / period ended 2023-03-31
Model row: Model!122 Inventory
Mapping type: direct
Concepts used: InventoryNet = 407 mm
Unit conversion: raw USD to $mm
Sign: copied using model sign convention
Confidence: high
Value written: 407</t>
        </r>
      </text>
    </comment>
    <comment ref="G122" authorId="0">
      <text>
        <r>
          <rPr>
            <b/>
          </rPr>
          <t xml:space="preserve">EDGAR Mapper:
</t>
        </r>
        <r>
          <t xml:space="preserve">EDGAR mapping:
Source: 10-Q, accession #0000070318-23-000041, filed 2023-07-31
Period: 2Q23 / period ended 2023-06-30
Model row: Model!122 Inventory
Mapping type: direct
Concepts used: InventoryNet = 404 mm
Unit conversion: raw USD to $mm
Sign: copied using model sign convention
Confidence: high
Value written: 404</t>
        </r>
      </text>
    </comment>
    <comment ref="H122" authorId="0">
      <text>
        <r>
          <rPr>
            <b/>
          </rPr>
          <t xml:space="preserve">EDGAR Mapper:
</t>
        </r>
        <r>
          <t xml:space="preserve">EDGAR mapping:
Source: 10-Q, accession #0000070318-23-000055, filed 2023-10-30
Period: 3Q23 / period ended 2023-09-30
Model row: Model!122 Inventory
Mapping type: direct
Concepts used: InventoryNet = 413 mm
Unit conversion: raw USD to $mm
Sign: copied using model sign convention
Confidence: high
Value written: 413</t>
        </r>
      </text>
    </comment>
    <comment ref="I122" authorId="0">
      <text>
        <r>
          <rPr>
            <b/>
          </rPr>
          <t xml:space="preserve">EDGAR Mapper:
</t>
        </r>
        <r>
          <t xml:space="preserve">EDGAR mapping:
Source: 10-K, accession #0000070318-25-000009, filed 2025-02-18
Period: 4Q23 / period ended 2023-12-31
Model row: Model!122 Inventory
Mapping type: direct
Concepts used: InventoryNet = 411 mm
Unit conversion: raw USD to $mm
Sign: copied using model sign convention
Confidence: high
Value written: 411</t>
        </r>
      </text>
    </comment>
    <comment ref="K122" authorId="0">
      <text>
        <r>
          <rPr>
            <b/>
          </rPr>
          <t xml:space="preserve">EDGAR Mapper:
</t>
        </r>
        <r>
          <t xml:space="preserve">EDGAR mapping:
Source: 10-Q, accession #0000070318-24-000032, filed 2024-04-30
Period: 1Q24 / period ended 2024-03-31
Model row: Model!122 Inventory
Mapping type: direct
Concepts used: InventoryNet = 395 mm
Unit conversion: raw USD to $mm
Sign: copied using model sign convention
Confidence: high
Value written: 395</t>
        </r>
      </text>
    </comment>
    <comment ref="L122" authorId="0">
      <text>
        <r>
          <rPr>
            <b/>
          </rPr>
          <t xml:space="preserve">EDGAR Mapper:
</t>
        </r>
        <r>
          <t xml:space="preserve">EDGAR mapping:
Source: 10-Q, accession #0000070318-24-000041, filed 2024-07-30
Period: 2Q24 / period ended 2024-06-30
Model row: Model!122 Inventory
Mapping type: direct
Concepts used: InventoryNet = 382 mm
Unit conversion: raw USD to $mm
Sign: copied using model sign convention
Confidence: high
Value written: 382</t>
        </r>
      </text>
    </comment>
    <comment ref="M122" authorId="0">
      <text>
        <r>
          <rPr>
            <b/>
          </rPr>
          <t xml:space="preserve">EDGAR Mapper:
</t>
        </r>
        <r>
          <t xml:space="preserve">EDGAR mapping:
Source: 10-Q, accession #0000070318-24-000052, filed 2024-10-29
Period: 3Q24 / period ended 2024-09-30
Model row: Model!122 Inventory
Mapping type: direct
Concepts used: InventoryNet = 356 mm
Unit conversion: raw USD to $mm
Sign: copied using model sign convention
Confidence: high
Value written: 356</t>
        </r>
      </text>
    </comment>
    <comment ref="N122" authorId="0">
      <text>
        <r>
          <rPr>
            <b/>
          </rPr>
          <t xml:space="preserve">EDGAR Mapper:
</t>
        </r>
        <r>
          <t xml:space="preserve">EDGAR mapping:
Source: 10-K, accession #0000070318-26-000012, filed 2026-02-17
Period: 4Q24 / period ended 2024-12-31
Model row: Model!122 Inventory
Mapping type: direct
Concepts used: InventoryNet = 346 mm
Unit conversion: raw USD to $mm
Sign: copied using model sign convention
Confidence: high
Value written: 346</t>
        </r>
      </text>
    </comment>
    <comment ref="P122" authorId="0">
      <text>
        <r>
          <rPr>
            <b/>
          </rPr>
          <t xml:space="preserve">EDGAR Mapper:
</t>
        </r>
        <r>
          <t xml:space="preserve">EDGAR mapping:
Source: 10-Q, accession #0000070318-25-000017, filed 2025-04-29
Period: 1Q25 / period ended 2025-03-31
Model row: Model!122 Inventory
Mapping type: direct
Concepts used: InventoryNet = 344 mm
Unit conversion: raw USD to $mm
Sign: copied using model sign convention
Confidence: high
Value written: 344</t>
        </r>
      </text>
    </comment>
    <comment ref="Q122" authorId="0">
      <text>
        <r>
          <rPr>
            <b/>
          </rPr>
          <t xml:space="preserve">EDGAR Mapper:
</t>
        </r>
        <r>
          <t xml:space="preserve">EDGAR mapping:
Source: 10-Q, accession #0000070318-25-000039, filed 2025-07-30
Period: 2Q25 / period ended 2025-06-30
Model row: Model!122 Inventory
Mapping type: direct
Concepts used: InventoryNet = 338 mm
Unit conversion: raw USD to $mm
Sign: copied using model sign convention
Confidence: high
Value written: 338</t>
        </r>
      </text>
    </comment>
    <comment ref="R122" authorId="0">
      <text>
        <r>
          <rPr>
            <b/>
          </rPr>
          <t xml:space="preserve">EDGAR Mapper:
</t>
        </r>
        <r>
          <t xml:space="preserve">EDGAR mapping:
Source: 10-Q, accession #0000070318-25-000046, filed 2025-10-28
Period: 3Q25 / period ended 2025-09-30
Model row: Model!122 Inventory
Mapping type: direct
Concepts used: InventoryNet = 346 mm
Unit conversion: raw USD to $mm
Sign: copied using model sign convention
Confidence: high
Value written: 346</t>
        </r>
      </text>
    </comment>
    <comment ref="S122" authorId="0">
      <text>
        <r>
          <rPr>
            <b/>
          </rPr>
          <t xml:space="preserve">EDGAR Mapper:
</t>
        </r>
        <r>
          <t xml:space="preserve">EDGAR mapping:
Source: 10-K, accession #0000070318-26-000012, filed 2026-02-17
Period: 4Q25 / period ended 2025-12-31
Model row: Model!122 Inventory
Mapping type: direct
Concepts used: InventoryNet = 348 mm
Unit conversion: raw USD to $mm
Sign: copied using model sign convention
Confidence: high
Value written: 348</t>
        </r>
      </text>
    </comment>
    <comment ref="U122" authorId="0">
      <text>
        <r>
          <rPr>
            <b/>
          </rPr>
          <t xml:space="preserve">EDGAR Mapper:
</t>
        </r>
        <r>
          <t xml:space="preserve">EDGAR mapping:
Source: 10-Q, accession #0000070318-26-000026, filed 2026-04-30
Period: 1Q26 / period ended 2026-03-31
Model row: Model!122 Inventory
Mapping type: direct
Concepts used: InventoryNet = 343 mm
Unit conversion: raw USD to $mm
Sign: copied using model sign convention
Confidence: high
Value written: 343</t>
        </r>
      </text>
    </comment>
    <comment ref="C123" authorId="0">
      <text>
        <r>
          <rPr>
            <b/>
          </rPr>
          <t xml:space="preserve">EDGAR Mapper:
</t>
        </r>
        <r>
          <t xml:space="preserve">======
ID#AAABbnJBVzo
Luke Brennan    (2025-01-14 21:09:38)
Short-Term and Other Investments
and Current Portion of Customer Financing, net
EDGAR Mapper:
Grouped from EDGAR: Assets, Current, Cash and Cash Equivalents, at Carrying Value, Accounts Receivable, after Allowance for Credit Loss, Current, Inventory, Net. Included current assets less separately modeled cash, receivables, and inventory. Grouped from EDGAR: Assets, Current, Cash and Cash Equivalents At Carrying Value, Accounts Receivable net Current, Inventory net. Included current assets less separately modeled cash, receivables, and inventory. Needs review: one or more historical periods were left unchanged because no matching EDGAR fact was found.</t>
        </r>
      </text>
    </comment>
    <comment ref="F123" authorId="0">
      <text>
        <r>
          <rPr>
            <b/>
          </rPr>
          <t xml:space="preserve">EDGAR Mapper:
</t>
        </r>
        <r>
          <t xml:space="preserve">EDGAR mapping:
Source: 10-Q, accession #0000070318-23-000019, filed 2023-04-28
Period: 1Q23 / period ended 2023-03-31
Model row: Model!123 Prepaid &amp; Other Current Assets
Mapping type: grouped
Concepts used: AssetsCurrent = 5869 mm; CashAndCashEquivalentsAtCarryingValue = 766 mm; AccountsReceivableNetCurrent = 2883 mm; InventoryNet = 407 mm
Unit conversion: raw USD to $mm
Sign: copied using model sign convention
Confidence: high
Value written: 1813
Notes: Grouped from EDGAR: Assets, Current, Cash and Cash Equivalents, at Carrying Value, Accounts Receivable, after Allowance for Credit Loss, Current, Inventory, Net. Included current assets less separately modeled cash, receivables, and inventory.</t>
        </r>
      </text>
    </comment>
    <comment ref="G123" authorId="0">
      <text>
        <r>
          <rPr>
            <b/>
          </rPr>
          <t xml:space="preserve">EDGAR Mapper:
</t>
        </r>
        <r>
          <t xml:space="preserve">EDGAR mapping:
Source: 10-Q, accession #0000070318-23-000041, filed 2023-07-31
Period: 2Q23 / period ended 2023-06-30
Model row: Model!123 Prepaid &amp; Other Current Assets
Mapping type: grouped
Concepts used: AssetsCurrent = 5995 mm; CashAndCashEquivalentsAtCarryingValue = 934 mm; AccountsReceivableNetCurrent = 2914 mm; InventoryNet = 404 mm
Unit conversion: raw USD to $mm
Sign: copied using model sign convention
Confidence: high
Value written: 1743
Notes: Grouped from EDGAR: Assets, Current, Cash and Cash Equivalents, at Carrying Value, Accounts Receivable, after Allowance for Credit Loss, Current, Inventory, Net. Included current assets less separately modeled cash, receivables, and inventory.</t>
        </r>
      </text>
    </comment>
    <comment ref="H123" authorId="0">
      <text>
        <r>
          <rPr>
            <b/>
          </rPr>
          <t xml:space="preserve">EDGAR Mapper:
</t>
        </r>
        <r>
          <t xml:space="preserve">EDGAR mapping:
Source: 10-Q, accession #0000070318-23-000055, filed 2023-10-30
Period: 3Q23 / period ended 2023-09-30
Model row: Model!123 Prepaid &amp; Other Current Assets
Mapping type: grouped
Concepts used: AssetsCurrent = 6359 mm; CashAndCashEquivalentsAtCarryingValue = 1054 mm; AccountsReceivableNetCurrent = 2897 mm; InventoryNet = 413 mm
Unit conversion: raw USD to $mm
Sign: copied using model sign convention
Confidence: high
Value written: 1995
Notes: Grouped from EDGAR: Assets, Current, Cash and Cash Equivalents, at Carrying Value, Accounts Receivable, after Allowance for Credit Loss, Current, Inventory, Net. Included current assets less separately modeled cash, receivables, and inventory.</t>
        </r>
      </text>
    </comment>
    <comment ref="I123" authorId="0">
      <text>
        <r>
          <rPr>
            <b/>
          </rPr>
          <t xml:space="preserve">EDGAR Mapper:
</t>
        </r>
        <r>
          <t xml:space="preserve">EDGAR mapping:
Source: 10-K, accession #0000070318-25-000009, filed 2025-02-18
Period: 4Q23 / period ended 2023-12-31
Model row: Model!123 Prepaid &amp; Other Current Assets
Mapping type: grouped
Concepts used: AssetsCurrent = 7167 mm; CashAndCashEquivalentsAtCarryingValue = 1228 mm; AccountsReceivableNetCurrent = 2914 mm; InventoryNet = 411 mm
Unit conversion: raw USD to $mm
Sign: copied using model sign convention
Confidence: high
Value written: 2614
Notes: Grouped from EDGAR: Assets, Current, Cash and Cash Equivalents, at Carrying Value, Accounts Receivable, after Allowance for Credit Loss, Current, Inventory, Net. Included current assets less separately modeled cash, receivables, and inventory.</t>
        </r>
      </text>
    </comment>
    <comment ref="K123" authorId="0">
      <text>
        <r>
          <rPr>
            <b/>
          </rPr>
          <t xml:space="preserve">EDGAR Mapper:
</t>
        </r>
        <r>
          <t xml:space="preserve">EDGAR mapping:
Source: 10-Q, accession #0000070318-24-000032, filed 2024-04-30
Period: 1Q24 / period ended 2024-03-31
Model row: Model!123 Prepaid &amp; Other Current Assets
Mapping type: grouped
Concepts used: AssetsCurrent = 7821 mm; CashAndCashEquivalentsAtCarryingValue = 2481 mm; AccountsReceivableNetCurrent = 3148 mm; InventoryNet = 395 mm
Unit conversion: raw USD to $mm
Sign: copied using model sign convention
Confidence: high
Value written: 1797
Notes: Grouped from EDGAR: Assets, Current, Cash and Cash Equivalents, at Carrying Value, Accounts Receivable, after Allowance for Credit Loss, Current, Inventory, Net. Included current assets less separately modeled cash, receivables, and inventory.</t>
        </r>
      </text>
    </comment>
    <comment ref="L123" authorId="0">
      <text>
        <r>
          <rPr>
            <b/>
          </rPr>
          <t xml:space="preserve">EDGAR Mapper:
</t>
        </r>
        <r>
          <t xml:space="preserve">EDGAR mapping:
Source: 10-Q, accession #0000070318-24-000041, filed 2024-07-30
Period: 2Q24 / period ended 2024-06-30
Model row: Model!123 Prepaid &amp; Other Current Assets
Mapping type: grouped
Concepts used: AssetsCurrent = 7955 mm; CashAndCashEquivalentsAtCarryingValue = 2880 mm; AccountsReceivableNetCurrent = 2817 mm; InventoryNet = 382 mm
Unit conversion: raw USD to $mm
Sign: copied using model sign convention
Confidence: high
Value written: 1876
Notes: Grouped from EDGAR: Assets, Current, Cash and Cash Equivalents, at Carrying Value, Accounts Receivable, after Allowance for Credit Loss, Current, Inventory, Net. Included current assets less separately modeled cash, receivables, and inventory.</t>
        </r>
      </text>
    </comment>
    <comment ref="M123" authorId="0">
      <text>
        <r>
          <rPr>
            <b/>
          </rPr>
          <t xml:space="preserve">EDGAR Mapper:
</t>
        </r>
        <r>
          <t xml:space="preserve">EDGAR mapping:
Source: 10-Q, accession #0000070318-24-000052, filed 2024-10-29
Period: 3Q24 / period ended 2024-09-30
Model row: Model!123 Prepaid &amp; Other Current Assets
Mapping type: grouped
Concepts used: AssetsCurrent = 8759 mm; CashAndCashEquivalentsAtCarryingValue = 4094 mm; AccountsReceivableNetCurrent = 2598 mm; InventoryNet = 356 mm
Unit conversion: raw USD to $mm
Sign: copied using model sign convention
Confidence: high
Value written: 1711
Notes: Grouped from EDGAR: Assets, Current, Cash and Cash Equivalents, at Carrying Value, Accounts Receivable, after Allowance for Credit Loss, Current, Inventory, Net. Included current assets less separately modeled cash, receivables, and inventory.</t>
        </r>
      </text>
    </comment>
    <comment ref="N123" authorId="0">
      <text>
        <r>
          <rPr>
            <b/>
          </rPr>
          <t xml:space="preserve">EDGAR Mapper:
</t>
        </r>
        <r>
          <t xml:space="preserve">EDGAR mapping:
Source: 10-K, accession #0000070318-26-000012, filed 2026-02-17
Period: 4Q24 / period ended 2024-12-31
Model row: Model!123 Prepaid &amp; Other Current Assets
Mapping type: grouped
Concepts used: AssetsCurrent = 7682 mm; CashAndCashEquivalentsAtCarryingValue = 3019 mm; AccountsReceivableNetCurrent = 2536 mm; InventoryNet = 346 mm
Unit conversion: raw USD to $mm
Sign: copied using model sign convention
Confidence: high
Value written: 1781
Notes: Grouped from EDGAR: Assets, Current, Cash and Cash Equivalents, at Carrying Value, Accounts Receivable, after Allowance for Credit Loss, Current, Inventory, Net. Included current assets less separately modeled cash, receivables, and inventory.</t>
        </r>
      </text>
    </comment>
    <comment ref="P123" authorId="0">
      <text>
        <r>
          <rPr>
            <b/>
          </rPr>
          <t xml:space="preserve">EDGAR Mapper:
</t>
        </r>
        <r>
          <t xml:space="preserve">EDGAR mapping:
Source: 10-Q, accession #0000070318-25-000017, filed 2025-04-29
Period: 1Q25 / period ended 2025-03-31
Model row: Model!123 Prepaid &amp; Other Current Assets
Mapping type: grouped
Concepts used: AssetsCurrent = 7913 mm; CashAndCashEquivalentsAtCarryingValue = 2999 mm; AccountsReceivableNetCurrent = 2619 mm; InventoryNet = 344 mm
Unit conversion: raw USD to $mm
Sign: copied using model sign convention
Confidence: high
Value written: 1951
Notes: Grouped from EDGAR: Assets, Current, Cash and Cash Equivalents, at Carrying Value, Accounts Receivable, after Allowance for Credit Loss, Current, Inventory, Net. Included current assets less separately modeled cash, receivables, and inventory.</t>
        </r>
      </text>
    </comment>
    <comment ref="Q123" authorId="0">
      <text>
        <r>
          <rPr>
            <b/>
          </rPr>
          <t xml:space="preserve">EDGAR Mapper:
</t>
        </r>
        <r>
          <t xml:space="preserve">EDGAR mapping:
Source: 10-Q, accession #0000070318-25-000039, filed 2025-07-30
Period: 2Q25 / period ended 2025-06-30
Model row: Model!123 Prepaid &amp; Other Current Assets
Mapping type: grouped
Concepts used: AssetsCurrent = 7298 mm; CashAndCashEquivalentsAtCarryingValue = 2625 mm; AccountsReceivableNetCurrent = 2533 mm; InventoryNet = 338 mm
Unit conversion: raw USD to $mm
Sign: copied using model sign convention
Confidence: high
Value written: 1802
Notes: Grouped from EDGAR: Assets, Current, Cash and Cash Equivalents, at Carrying Value, Accounts Receivable, after Allowance for Credit Loss, Current, Inventory, Net. Included current assets less separately modeled cash, receivables, and inventory.</t>
        </r>
      </text>
    </comment>
    <comment ref="R123" authorId="0">
      <text>
        <r>
          <rPr>
            <b/>
          </rPr>
          <t xml:space="preserve">EDGAR Mapper:
</t>
        </r>
        <r>
          <t xml:space="preserve">EDGAR mapping:
Source: 10-Q, accession #0000070318-25-000046, filed 2025-10-28
Period: 3Q25 / period ended 2025-09-30
Model row: Model!123 Prepaid &amp; Other Current Assets
Mapping type: grouped
Concepts used: AssetsCurrent = 7810 mm; CashAndCashEquivalentsAtCarryingValue = 2975 mm; AccountsReceivableNetCurrent = 2518 mm; InventoryNet = 346 mm
Unit conversion: raw USD to $mm
Sign: copied using model sign convention
Confidence: high
Value written: 1971
Notes: Grouped from EDGAR: Assets, Current, Cash and Cash Equivalents, at Carrying Value, Accounts Receivable, after Allowance for Credit Loss, Current, Inventory, Net. Included current assets less separately modeled cash, receivables, and inventory.</t>
        </r>
      </text>
    </comment>
    <comment ref="S123" authorId="0">
      <text>
        <r>
          <rPr>
            <b/>
          </rPr>
          <t xml:space="preserve">EDGAR Mapper:
</t>
        </r>
        <r>
          <t xml:space="preserve">EDGAR mapping:
Source: 10-Q, accession #0000070318-26-000026, filed 2026-04-30
Period: 4Q25 / period ended 2025-12-31
Model row: Model!123 Prepaid &amp; Other Current Assets
Mapping type: grouped
Concepts used: AssetsCurrent = 7849 mm; CashAndCashEquivalentsAtCarryingValue = 2883 mm; AccountsReceivableNetCurrent = 2565 mm; InventoryNet = 348 mm
Unit conversion: raw USD to $mm
Sign: copied using model sign convention
Confidence: high
Value written: 2053
Notes: Grouped from EDGAR: Assets, Current, Cash and Cash Equivalents At Carrying Value, Accounts Receivable net Current, Inventory net. Included current assets less separately modeled cash, receivables, and inventory.</t>
        </r>
      </text>
    </comment>
    <comment ref="U123" authorId="0">
      <text>
        <r>
          <rPr>
            <b/>
          </rPr>
          <t xml:space="preserve">EDGAR Mapper:
</t>
        </r>
        <r>
          <t xml:space="preserve">EDGAR mapping:
Source: 10-Q, accession #0000070318-26-000026, filed 2026-04-30
Period: 1Q26 / period ended 2026-03-31
Model row: Model!123 Prepaid &amp; Other Current Assets
Mapping type: grouped
Concepts used: AssetsCurrent = 8356 mm; CashAndCashEquivalentsAtCarryingValue = 2967 mm; AccountsReceivableNetCurrent = 2605 mm; InventoryNet = 343 mm
Unit conversion: raw USD to $mm
Sign: copied using model sign convention
Confidence: high
Value written: 2441
Notes: Grouped from EDGAR: Assets, Current, Cash and Cash Equivalents, at Carrying Value, Accounts Receivable, after Allowance for Credit Loss, Current, Inventory, Net. Included current assets less separately modeled cash, receivables, and inventory.</t>
        </r>
      </text>
    </comment>
    <comment ref="C126" authorId="0">
      <text>
        <r>
          <rPr>
            <b/>
          </rPr>
          <t xml:space="preserve">EDGAR Mapper:
</t>
        </r>
        <r>
          <t>Grouped from EDGAR: Property, Plant, and Equipment and Finance Lease Right-of-Use Asset, after Accumulated Depreciation and Amortization. Grouped from EDGAR: Property Plant and Equipment and Finance Lease Right of Use Asset After Accumulated Depreciation and Amortization. Needs review: one or more historical periods were left unchanged because no matching EDGAR fact was found.</t>
        </r>
      </text>
    </comment>
    <comment ref="F126" authorId="0">
      <text>
        <r>
          <rPr>
            <b/>
          </rPr>
          <t xml:space="preserve">EDGAR Mapper:
</t>
        </r>
        <r>
          <t xml:space="preserve">EDGAR mapping:
Source: 10-Q, accession #0000070318-23-000019, filed 2023-04-28
Period: 1Q23 / period ended 2023-03-31
Model row: Model!126 PP&amp;E, Net
Mapping type: grouped
Concepts used: PropertyPlantAndEquipmentAndFinanceLeaseRightOfUseAssetAfterAccumulatedDepreciationAndAmortization = 6319 mm
Unit conversion: raw USD to $mm
Sign: copied using model sign convention
Confidence: high
Value written: 6319
Notes: Grouped from EDGAR: Property, Plant, and Equipment and Finance Lease Right-of-Use Asset, after Accumulated Depreciation and Amortization.</t>
        </r>
      </text>
    </comment>
    <comment ref="G126" authorId="0">
      <text>
        <r>
          <rPr>
            <b/>
          </rPr>
          <t xml:space="preserve">EDGAR Mapper:
</t>
        </r>
        <r>
          <t xml:space="preserve">EDGAR mapping:
Source: 10-Q, accession #0000070318-23-000041, filed 2023-07-31
Period: 2Q23 / period ended 2023-06-30
Model row: Model!126 PP&amp;E, Net
Mapping type: grouped
Concepts used: PropertyPlantAndEquipmentAndFinanceLeaseRightOfUseAssetAfterAccumulatedDepreciationAndAmortization = 6268 mm
Unit conversion: raw USD to $mm
Sign: copied using model sign convention
Confidence: high
Value written: 6268
Notes: Grouped from EDGAR: Property, Plant, and Equipment and Finance Lease Right-of-Use Asset, after Accumulated Depreciation and Amortization.</t>
        </r>
      </text>
    </comment>
    <comment ref="H126" authorId="0">
      <text>
        <r>
          <rPr>
            <b/>
          </rPr>
          <t xml:space="preserve">EDGAR Mapper:
</t>
        </r>
        <r>
          <t xml:space="preserve">EDGAR mapping:
Source: 10-Q, accession #0000070318-23-000055, filed 2023-10-30
Period: 3Q23 / period ended 2023-09-30
Model row: Model!126 PP&amp;E, Net
Mapping type: grouped
Concepts used: PropertyPlantAndEquipmentAndFinanceLeaseRightOfUseAssetAfterAccumulatedDepreciationAndAmortization = 6260 mm
Unit conversion: raw USD to $mm
Sign: copied using model sign convention
Confidence: high
Value written: 6260
Notes: Grouped from EDGAR: Property, Plant, and Equipment and Finance Lease Right-of-Use Asset, after Accumulated Depreciation and Amortization.</t>
        </r>
      </text>
    </comment>
    <comment ref="I126" authorId="0">
      <text>
        <r>
          <rPr>
            <b/>
          </rPr>
          <t xml:space="preserve">EDGAR Mapper:
</t>
        </r>
        <r>
          <t xml:space="preserve">EDGAR mapping:
Source: 10-K, accession #0000070318-25-000009, filed 2025-02-18
Period: 4Q23 / period ended 2023-12-31
Model row: Model!126 PP&amp;E, Net
Mapping type: grouped
Concepts used: PropertyPlantAndEquipmentAndFinanceLeaseRightOfUseAssetAfterAccumulatedDepreciationAndAmortization = 6236 mm
Unit conversion: raw USD to $mm
Sign: copied using model sign convention
Confidence: high
Value written: 6236
Notes: Grouped from EDGAR: Property, Plant, and Equipment and Finance Lease Right-of-Use Asset, after Accumulated Depreciation and Amortization.</t>
        </r>
      </text>
    </comment>
    <comment ref="K126" authorId="0">
      <text>
        <r>
          <rPr>
            <b/>
          </rPr>
          <t xml:space="preserve">EDGAR Mapper:
</t>
        </r>
        <r>
          <t xml:space="preserve">EDGAR mapping:
Source: 10-Q, accession #0000070318-24-000032, filed 2024-04-30
Period: 1Q24 / period ended 2024-03-31
Model row: Model!126 PP&amp;E, Net
Mapping type: grouped
Concepts used: PropertyPlantAndEquipmentAndFinanceLeaseRightOfUseAssetAfterAccumulatedDepreciationAndAmortization = 5855 mm
Unit conversion: raw USD to $mm
Sign: copied using model sign convention
Confidence: high
Value written: 5855
Notes: Grouped from EDGAR: Property, Plant, and Equipment and Finance Lease Right-of-Use Asset, after Accumulated Depreciation and Amortization.</t>
        </r>
      </text>
    </comment>
    <comment ref="L126" authorId="0">
      <text>
        <r>
          <rPr>
            <b/>
          </rPr>
          <t xml:space="preserve">EDGAR Mapper:
</t>
        </r>
        <r>
          <t xml:space="preserve">EDGAR mapping:
Source: 10-Q, accession #0000070318-24-000041, filed 2024-07-30
Period: 2Q24 / period ended 2024-06-30
Model row: Model!126 PP&amp;E, Net
Mapping type: grouped
Concepts used: PropertyPlantAndEquipmentAndFinanceLeaseRightOfUseAssetAfterAccumulatedDepreciationAndAmortization = 5857 mm
Unit conversion: raw USD to $mm
Sign: copied using model sign convention
Confidence: high
Value written: 5857
Notes: Grouped from EDGAR: Property, Plant, and Equipment and Finance Lease Right-of-Use Asset, after Accumulated Depreciation and Amortization.</t>
        </r>
      </text>
    </comment>
    <comment ref="M126" authorId="0">
      <text>
        <r>
          <rPr>
            <b/>
          </rPr>
          <t xml:space="preserve">EDGAR Mapper:
</t>
        </r>
        <r>
          <t xml:space="preserve">EDGAR mapping:
Source: 10-Q, accession #0000070318-24-000052, filed 2024-10-29
Period: 3Q24 / period ended 2024-09-30
Model row: Model!126 PP&amp;E, Net
Mapping type: grouped
Concepts used: PropertyPlantAndEquipmentAndFinanceLeaseRightOfUseAssetAfterAccumulatedDepreciationAndAmortization = 5552 mm
Unit conversion: raw USD to $mm
Sign: copied using model sign convention
Confidence: high
Value written: 5552
Notes: Grouped from EDGAR: Property, Plant, and Equipment and Finance Lease Right-of-Use Asset, after Accumulated Depreciation and Amortization.</t>
        </r>
      </text>
    </comment>
    <comment ref="N126" authorId="0">
      <text>
        <r>
          <rPr>
            <b/>
          </rPr>
          <t xml:space="preserve">EDGAR Mapper:
</t>
        </r>
        <r>
          <t xml:space="preserve">EDGAR mapping:
Source: 10-K, accession #0000070318-26-000012, filed 2026-02-17
Period: 4Q24 / period ended 2024-12-31
Model row: Model!126 PP&amp;E, Net
Mapping type: grouped
Concepts used: PropertyPlantAndEquipmentAndFinanceLeaseRightOfUseAssetAfterAccumulatedDepreciationAndAmortization = 6049 mm
Unit conversion: raw USD to $mm
Sign: copied using model sign convention
Confidence: high
Value written: 6049
Notes: Grouped from EDGAR: Property, Plant, and Equipment and Finance Lease Right-of-Use Asset, after Accumulated Depreciation and Amortization.</t>
        </r>
      </text>
    </comment>
    <comment ref="P126" authorId="0">
      <text>
        <r>
          <rPr>
            <b/>
          </rPr>
          <t xml:space="preserve">EDGAR Mapper:
</t>
        </r>
        <r>
          <t xml:space="preserve">EDGAR mapping:
Source: 10-Q, accession #0000070318-25-000017, filed 2025-04-29
Period: 1Q25 / period ended 2025-03-31
Model row: Model!126 PP&amp;E, Net
Mapping type: grouped
Concepts used: PropertyPlantAndEquipmentAndFinanceLeaseRightOfUseAssetAfterAccumulatedDepreciationAndAmortization = 5991 mm
Unit conversion: raw USD to $mm
Sign: copied using model sign convention
Confidence: high
Value written: 5991
Notes: Grouped from EDGAR: Property, Plant, and Equipment and Finance Lease Right-of-Use Asset, after Accumulated Depreciation and Amortization.</t>
        </r>
      </text>
    </comment>
    <comment ref="Q126" authorId="0">
      <text>
        <r>
          <rPr>
            <b/>
          </rPr>
          <t xml:space="preserve">EDGAR Mapper:
</t>
        </r>
        <r>
          <t xml:space="preserve">EDGAR mapping:
Source: 10-Q, accession #0000070318-25-000039, filed 2025-07-30
Period: 2Q25 / period ended 2025-06-30
Model row: Model!126 PP&amp;E, Net
Mapping type: grouped
Concepts used: PropertyPlantAndEquipmentAndFinanceLeaseRightOfUseAssetAfterAccumulatedDepreciationAndAmortization = 6024 mm
Unit conversion: raw USD to $mm
Sign: copied using model sign convention
Confidence: high
Value written: 6024
Notes: Grouped from EDGAR: Property, Plant, and Equipment and Finance Lease Right-of-Use Asset, after Accumulated Depreciation and Amortization.</t>
        </r>
      </text>
    </comment>
    <comment ref="R126" authorId="0">
      <text>
        <r>
          <rPr>
            <b/>
          </rPr>
          <t xml:space="preserve">EDGAR Mapper:
</t>
        </r>
        <r>
          <t xml:space="preserve">EDGAR mapping:
Source: 10-Q, accession #0000070318-25-000046, filed 2025-10-28
Period: 3Q25 / period ended 2025-09-30
Model row: Model!126 PP&amp;E, Net
Mapping type: grouped
Concepts used: PropertyPlantAndEquipmentAndFinanceLeaseRightOfUseAssetAfterAccumulatedDepreciationAndAmortization = 6091 mm
Unit conversion: raw USD to $mm
Sign: copied using model sign convention
Confidence: high
Value written: 6091
Notes: Grouped from EDGAR: Property, Plant, and Equipment and Finance Lease Right-of-Use Asset, after Accumulated Depreciation and Amortization.</t>
        </r>
      </text>
    </comment>
    <comment ref="S126" authorId="0">
      <text>
        <r>
          <rPr>
            <b/>
          </rPr>
          <t xml:space="preserve">EDGAR Mapper:
</t>
        </r>
        <r>
          <t xml:space="preserve">EDGAR mapping:
Source: 10-K, accession #0000070318-26-000012, filed 2026-02-17
Period: 4Q25 / period ended 2025-12-31
Model row: Model!126 PP&amp;E, Net
Mapping type: grouped
Concepts used: PropertyPlantAndEquipmentAndFinanceLeaseRightOfUseAssetAfterAccumulatedDepreciationAndAmortization = 6315 mm
Unit conversion: raw USD to $mm
Sign: copied using model sign convention
Confidence: high
Value written: 6315
Notes: Grouped from EDGAR: Property Plant and Equipment and Finance Lease Right of Use Asset After Accumulated Depreciation and Amortization.</t>
        </r>
      </text>
    </comment>
    <comment ref="U126" authorId="0">
      <text>
        <r>
          <rPr>
            <b/>
          </rPr>
          <t xml:space="preserve">EDGAR Mapper:
</t>
        </r>
        <r>
          <t xml:space="preserve">EDGAR mapping:
Source: 10-Q, accession #0000070318-26-000026, filed 2026-04-30
Period: 1Q26 / period ended 2026-03-31
Model row: Model!126 PP&amp;E, Net
Mapping type: grouped
Concepts used: PropertyPlantAndEquipmentAndFinanceLeaseRightOfUseAssetAfterAccumulatedDepreciationAndAmortization = 6251 mm
Unit conversion: raw USD to $mm
Sign: copied using model sign convention
Confidence: high
Value written: 6251
Notes: Grouped from EDGAR: Property, Plant, and Equipment and Finance Lease Right-of-Use Asset, after Accumulated Depreciation and Amortization.</t>
        </r>
      </text>
    </comment>
    <comment ref="C127" authorId="0">
      <text>
        <r>
          <rPr>
            <b/>
          </rPr>
          <t xml:space="preserve">EDGAR Mapper:
</t>
        </r>
        <r>
          <t>Grouped from EDGAR: Finite-Lived Intangible Assets, Net. Grouped from EDGAR: Finite Lived Intangible Assets net. Needs review: one or more historical periods were left unchanged because no matching EDGAR fact was found.</t>
        </r>
      </text>
    </comment>
    <comment ref="F127" authorId="0">
      <text>
        <r>
          <rPr>
            <b/>
          </rPr>
          <t xml:space="preserve">EDGAR Mapper:
</t>
        </r>
        <r>
          <t xml:space="preserve">EDGAR mapping:
Source: 10-Q, accession #0000070318-23-000019, filed 2023-04-28
Period: 1Q23 / period ended 2023-03-31
Model row: Model!127 Intangible Assets, Net
Mapping type: grouped
Concepts used: FiniteLivedIntangibleAssetsNet = 716 mm
Unit conversion: raw USD to $mm
Sign: copied using model sign convention
Confidence: high
Value written: 716
Notes: Grouped from EDGAR: Finite-Lived Intangible Assets, Net.</t>
        </r>
      </text>
    </comment>
    <comment ref="G127" authorId="0">
      <text>
        <r>
          <rPr>
            <b/>
          </rPr>
          <t xml:space="preserve">EDGAR Mapper:
</t>
        </r>
        <r>
          <t xml:space="preserve">EDGAR mapping:
Source: 10-Q, accession #0000070318-23-000041, filed 2023-07-31
Period: 2Q23 / period ended 2023-06-30
Model row: Model!127 Intangible Assets, Net
Mapping type: grouped
Concepts used: FiniteLivedIntangibleAssetsNet = 690 mm
Unit conversion: raw USD to $mm
Sign: copied using model sign convention
Confidence: high
Value written: 690
Notes: Grouped from EDGAR: Finite-Lived Intangible Assets, Net.</t>
        </r>
      </text>
    </comment>
    <comment ref="H127" authorId="0">
      <text>
        <r>
          <rPr>
            <b/>
          </rPr>
          <t xml:space="preserve">EDGAR Mapper:
</t>
        </r>
        <r>
          <t xml:space="preserve">EDGAR mapping:
Source: 10-Q, accession #0000070318-23-000055, filed 2023-10-30
Period: 3Q23 / period ended 2023-09-30
Model row: Model!127 Intangible Assets, Net
Mapping type: grouped
Concepts used: FiniteLivedIntangibleAssetsNet = 682 mm
Unit conversion: raw USD to $mm
Sign: copied using model sign convention
Confidence: high
Value written: 682
Notes: Grouped from EDGAR: Finite-Lived Intangible Assets, Net.</t>
        </r>
      </text>
    </comment>
    <comment ref="I127" authorId="0">
      <text>
        <r>
          <rPr>
            <b/>
          </rPr>
          <t xml:space="preserve">EDGAR Mapper:
</t>
        </r>
        <r>
          <t xml:space="preserve">EDGAR mapping:
Source: 10-K, accession #0000070318-25-000009, filed 2025-02-18
Period: 4Q23 / period ended 2023-12-31
Model row: Model!127 Intangible Assets, Net
Mapping type: grouped
Concepts used: FiniteLivedIntangibleAssetsNet = 650 mm
Unit conversion: raw USD to $mm
Sign: copied using model sign convention
Confidence: high
Value written: 650
Notes: Grouped from EDGAR: Finite-Lived Intangible Assets, Net.</t>
        </r>
      </text>
    </comment>
    <comment ref="K127" authorId="0">
      <text>
        <r>
          <rPr>
            <b/>
          </rPr>
          <t xml:space="preserve">EDGAR Mapper:
</t>
        </r>
        <r>
          <t xml:space="preserve">EDGAR mapping:
Source: 10-Q, accession #0000070318-24-000032, filed 2024-04-30
Period: 1Q24 / period ended 2024-03-31
Model row: Model!127 Intangible Assets, Net
Mapping type: grouped
Concepts used: FiniteLivedIntangibleAssetsNet = 678 mm
Unit conversion: raw USD to $mm
Sign: copied using model sign convention
Confidence: high
Value written: 678
Notes: Grouped from EDGAR: Finite-Lived Intangible Assets, Net.</t>
        </r>
      </text>
    </comment>
    <comment ref="L127" authorId="0">
      <text>
        <r>
          <rPr>
            <b/>
          </rPr>
          <t xml:space="preserve">EDGAR Mapper:
</t>
        </r>
        <r>
          <t xml:space="preserve">EDGAR mapping:
Source: 10-Q, accession #0000070318-24-000041, filed 2024-07-30
Period: 2Q24 / period ended 2024-06-30
Model row: Model!127 Intangible Assets, Net
Mapping type: grouped
Concepts used: FiniteLivedIntangibleAssetsNet = 639 mm
Unit conversion: raw USD to $mm
Sign: copied using model sign convention
Confidence: high
Value written: 639
Notes: Grouped from EDGAR: Finite-Lived Intangible Assets, Net.</t>
        </r>
      </text>
    </comment>
    <comment ref="M127" authorId="0">
      <text>
        <r>
          <rPr>
            <b/>
          </rPr>
          <t xml:space="preserve">EDGAR Mapper:
</t>
        </r>
        <r>
          <t xml:space="preserve">EDGAR mapping:
Source: 10-Q, accession #0000070318-24-000052, filed 2024-10-29
Period: 3Q24 / period ended 2024-09-30
Model row: Model!127 Intangible Assets, Net
Mapping type: grouped
Concepts used: FiniteLivedIntangibleAssetsNet = 601 mm
Unit conversion: raw USD to $mm
Sign: copied using model sign convention
Confidence: high
Value written: 601
Notes: Grouped from EDGAR: Finite-Lived Intangible Assets, Net.</t>
        </r>
      </text>
    </comment>
    <comment ref="N127" authorId="0">
      <text>
        <r>
          <rPr>
            <b/>
          </rPr>
          <t xml:space="preserve">EDGAR Mapper:
</t>
        </r>
        <r>
          <t xml:space="preserve">EDGAR mapping:
Source: 10-K, accession #0000070318-26-000012, filed 2026-02-17
Period: 4Q24 / period ended 2024-12-31
Model row: Model!127 Intangible Assets, Net
Mapping type: grouped
Concepts used: FiniteLivedIntangibleAssetsNet = 518 mm
Unit conversion: raw USD to $mm
Sign: copied using model sign convention
Confidence: high
Value written: 518
Notes: Grouped from EDGAR: Finite-Lived Intangible Assets, Net.</t>
        </r>
      </text>
    </comment>
    <comment ref="P127" authorId="0">
      <text>
        <r>
          <rPr>
            <b/>
          </rPr>
          <t xml:space="preserve">EDGAR Mapper:
</t>
        </r>
        <r>
          <t xml:space="preserve">EDGAR mapping:
Source: 10-Q, accession #0000070318-25-000017, filed 2025-04-29
Period: 1Q25 / period ended 2025-03-31
Model row: Model!127 Intangible Assets, Net
Mapping type: grouped
Concepts used: FiniteLivedIntangibleAssetsNet = 518 mm
Unit conversion: raw USD to $mm
Sign: copied using model sign convention
Confidence: high
Value written: 518
Notes: Grouped from EDGAR: Finite-Lived Intangible Assets, Net.</t>
        </r>
      </text>
    </comment>
    <comment ref="Q127" authorId="0">
      <text>
        <r>
          <rPr>
            <b/>
          </rPr>
          <t xml:space="preserve">EDGAR Mapper:
</t>
        </r>
        <r>
          <t xml:space="preserve">EDGAR mapping:
Source: 10-Q, accession #0000070318-25-000039, filed 2025-07-30
Period: 2Q25 / period ended 2025-06-30
Model row: Model!127 Intangible Assets, Net
Mapping type: grouped
Concepts used: FiniteLivedIntangibleAssetsNet = 490 mm
Unit conversion: raw USD to $mm
Sign: copied using model sign convention
Confidence: high
Value written: 490
Notes: Grouped from EDGAR: Finite-Lived Intangible Assets, Net.</t>
        </r>
      </text>
    </comment>
    <comment ref="R127" authorId="0">
      <text>
        <r>
          <rPr>
            <b/>
          </rPr>
          <t xml:space="preserve">EDGAR Mapper:
</t>
        </r>
        <r>
          <t xml:space="preserve">EDGAR mapping:
Source: 10-Q, accession #0000070318-25-000046, filed 2025-10-28
Period: 3Q25 / period ended 2025-09-30
Model row: Model!127 Intangible Assets, Net
Mapping type: grouped
Concepts used: FiniteLivedIntangibleAssetsNet = 462 mm
Unit conversion: raw USD to $mm
Sign: copied using model sign convention
Confidence: high
Value written: 462
Notes: Grouped from EDGAR: Finite-Lived Intangible Assets, Net.</t>
        </r>
      </text>
    </comment>
    <comment ref="S127" authorId="0">
      <text>
        <r>
          <rPr>
            <b/>
          </rPr>
          <t xml:space="preserve">EDGAR Mapper:
</t>
        </r>
        <r>
          <t xml:space="preserve">EDGAR mapping:
Source: 10-K, accession #0000070318-26-000012, filed 2026-02-17
Period: 4Q25 / period ended 2025-12-31
Model row: Model!127 Intangible Assets, Net
Mapping type: grouped
Concepts used: FiniteLivedIntangibleAssetsNet = 466 mm
Unit conversion: raw USD to $mm
Sign: copied using model sign convention
Confidence: high
Value written: 466
Notes: Grouped from EDGAR: Finite Lived Intangible Assets net.</t>
        </r>
      </text>
    </comment>
    <comment ref="U127" authorId="0">
      <text>
        <r>
          <rPr>
            <b/>
          </rPr>
          <t xml:space="preserve">EDGAR Mapper:
</t>
        </r>
        <r>
          <t xml:space="preserve">EDGAR mapping:
Source: 10-Q, accession #0000070318-26-000026, filed 2026-04-30
Period: 1Q26 / period ended 2026-03-31
Model row: Model!127 Intangible Assets, Net
Mapping type: grouped
Concepts used: FiniteLivedIntangibleAssetsNet = 432 mm
Unit conversion: raw USD to $mm
Sign: copied using model sign convention
Confidence: high
Value written: 432
Notes: Grouped from EDGAR: Finite-Lived Intangible Assets, Net.</t>
        </r>
      </text>
    </comment>
    <comment ref="C128" authorId="0">
      <text>
        <r>
          <rPr>
            <b/>
          </rPr>
          <t xml:space="preserve">EDGAR Mapper:
</t>
        </r>
        <r>
          <t>Needs review: one or more historical periods were left unchanged because no matching EDGAR fact was found.</t>
        </r>
      </text>
    </comment>
    <comment ref="F128" authorId="0">
      <text>
        <r>
          <rPr>
            <b/>
          </rPr>
          <t xml:space="preserve">EDGAR Mapper:
</t>
        </r>
        <r>
          <t xml:space="preserve">EDGAR mapping:
Source: 10-Q, accession #0000070318-23-000019, filed 2023-04-28
Period: 1Q23 / period ended 2023-03-31
Model row: Model!128 Goodwill
Mapping type: direct
Concepts used: Goodwill = 10258 mm
Unit conversion: raw USD to $mm
Sign: copied using model sign convention
Confidence: high
Value written: 10258</t>
        </r>
      </text>
    </comment>
    <comment ref="G128" authorId="0">
      <text>
        <r>
          <rPr>
            <b/>
          </rPr>
          <t xml:space="preserve">EDGAR Mapper:
</t>
        </r>
        <r>
          <t xml:space="preserve">EDGAR mapping:
Source: 10-Q, accession #0000070318-23-000041, filed 2023-07-31
Period: 2Q23 / period ended 2023-06-30
Model row: Model!128 Goodwill
Mapping type: direct
Concepts used: Goodwill = 10350 mm
Unit conversion: raw USD to $mm
Sign: copied using model sign convention
Confidence: high
Value written: 10350</t>
        </r>
      </text>
    </comment>
    <comment ref="H128" authorId="0">
      <text>
        <r>
          <rPr>
            <b/>
          </rPr>
          <t xml:space="preserve">EDGAR Mapper:
</t>
        </r>
        <r>
          <t xml:space="preserve">EDGAR mapping:
Source: 10-Q, accession #0000070318-23-000055, filed 2023-10-30
Period: 3Q23 / period ended 2023-09-30
Model row: Model!128 Goodwill
Mapping type: direct
Concepts used: Goodwill = 10415 mm
Unit conversion: raw USD to $mm
Sign: copied using model sign convention
Confidence: high
Value written: 10415</t>
        </r>
      </text>
    </comment>
    <comment ref="I128" authorId="0">
      <text>
        <r>
          <rPr>
            <b/>
          </rPr>
          <t xml:space="preserve">EDGAR Mapper:
</t>
        </r>
        <r>
          <t xml:space="preserve">EDGAR mapping:
Source: 10-K, accession #0000070318-25-000009, filed 2025-02-18
Period: 4Q23 / period ended 2023-12-31
Model row: Model!128 Goodwill
Mapping type: direct
Concepts used: Goodwill = 10307 mm
Unit conversion: raw USD to $mm
Sign: copied using model sign convention
Confidence: high
Value written: 10307</t>
        </r>
      </text>
    </comment>
    <comment ref="K128" authorId="0">
      <text>
        <r>
          <rPr>
            <b/>
          </rPr>
          <t xml:space="preserve">EDGAR Mapper:
</t>
        </r>
        <r>
          <t xml:space="preserve">EDGAR mapping:
Source: 10-Q, accession #0000070318-24-000032, filed 2024-04-30
Period: 1Q24 / period ended 2024-03-31
Model row: Model!128 Goodwill
Mapping type: direct
Concepts used: Goodwill = 10568 mm
Unit conversion: raw USD to $mm
Sign: copied using model sign convention
Confidence: high
Value written: 10568</t>
        </r>
      </text>
    </comment>
    <comment ref="L128" authorId="0">
      <text>
        <r>
          <rPr>
            <b/>
          </rPr>
          <t xml:space="preserve">EDGAR Mapper:
</t>
        </r>
        <r>
          <t xml:space="preserve">EDGAR mapping:
Source: 10-Q, accession #0000070318-25-000039, filed 2025-07-30
Period: 2Q24 / period ended 2024-06-30
Model row: Model!128 Goodwill
Mapping type: direct
Concepts used: Goodwill = 10799 mm
Unit conversion: raw USD to $mm
Sign: copied using model sign convention
Confidence: high
Value written: 10799</t>
        </r>
      </text>
    </comment>
    <comment ref="M128" authorId="0">
      <text>
        <r>
          <rPr>
            <b/>
          </rPr>
          <t xml:space="preserve">EDGAR Mapper:
</t>
        </r>
        <r>
          <t xml:space="preserve">EDGAR mapping:
Source: 10-Q, accession #0000070318-25-000046, filed 2025-10-28
Period: 3Q24 / period ended 2024-09-30
Model row: Model!128 Goodwill
Mapping type: direct
Concepts used: Goodwill = 10588 mm
Unit conversion: raw USD to $mm
Sign: copied using model sign convention
Confidence: high
Value written: 10588</t>
        </r>
      </text>
    </comment>
    <comment ref="N128" authorId="0">
      <text>
        <r>
          <rPr>
            <b/>
          </rPr>
          <t xml:space="preserve">EDGAR Mapper:
</t>
        </r>
        <r>
          <t xml:space="preserve">EDGAR mapping:
Source: 10-K, accession #0000070318-26-000012, filed 2026-02-17
Period: 4Q24 / period ended 2024-12-31
Model row: Model!128 Goodwill
Mapping type: direct
Concepts used: Goodwill = 10691 mm
Unit conversion: raw USD to $mm
Sign: copied using model sign convention
Confidence: high
Value written: 10691</t>
        </r>
      </text>
    </comment>
    <comment ref="P128" authorId="0">
      <text>
        <r>
          <rPr>
            <b/>
          </rPr>
          <t xml:space="preserve">EDGAR Mapper:
</t>
        </r>
        <r>
          <t xml:space="preserve">EDGAR mapping:
Source: 10-Q, accession #0000070318-26-000026, filed 2026-04-30
Period: 1Q25 / period ended 2025-03-31
Model row: Model!128 Goodwill
Mapping type: direct
Concepts used: Goodwill = 10786 mm
Unit conversion: raw USD to $mm
Sign: copied using model sign convention
Confidence: high
Value written: 10786</t>
        </r>
      </text>
    </comment>
    <comment ref="Q128" authorId="0">
      <text>
        <r>
          <rPr>
            <b/>
          </rPr>
          <t xml:space="preserve">EDGAR Mapper:
</t>
        </r>
        <r>
          <t xml:space="preserve">EDGAR mapping:
Source: 10-Q, accession #0000070318-25-000039, filed 2025-07-30
Period: 2Q25 / period ended 2025-06-30
Model row: Model!128 Goodwill
Mapping type: direct
Concepts used: Goodwill = 10935 mm
Unit conversion: raw USD to $mm
Sign: copied using model sign convention
Confidence: high
Value written: 10935</t>
        </r>
      </text>
    </comment>
    <comment ref="R128" authorId="0">
      <text>
        <r>
          <rPr>
            <b/>
          </rPr>
          <t xml:space="preserve">EDGAR Mapper:
</t>
        </r>
        <r>
          <t xml:space="preserve">EDGAR mapping:
Source: 10-Q, accession #0000070318-25-000046, filed 2025-10-28
Period: 3Q25 / period ended 2025-09-30
Model row: Model!128 Goodwill
Mapping type: direct
Concepts used: Goodwill = 11158 mm
Unit conversion: raw USD to $mm
Sign: copied using model sign convention
Confidence: high
Value written: 11158</t>
        </r>
      </text>
    </comment>
    <comment ref="S128" authorId="0">
      <text>
        <r>
          <rPr>
            <b/>
          </rPr>
          <t xml:space="preserve">EDGAR Mapper:
</t>
        </r>
        <r>
          <t xml:space="preserve">EDGAR mapping:
Source: 10-K, accession #0000070318-26-000012, filed 2026-02-17
Period: 4Q25 / period ended 2025-12-31
Model row: Model!128 Goodwill
Mapping type: direct
Concepts used: Goodwill = 11198 mm
Unit conversion: raw USD to $mm
Sign: copied using model sign convention
Confidence: high
Value written: 11198</t>
        </r>
      </text>
    </comment>
    <comment ref="U128" authorId="0">
      <text>
        <r>
          <rPr>
            <b/>
          </rPr>
          <t xml:space="preserve">EDGAR Mapper:
</t>
        </r>
        <r>
          <t xml:space="preserve">EDGAR mapping:
Source: 10-Q, accession #0000070318-26-000026, filed 2026-04-30
Period: 1Q26 / period ended 2026-03-31
Model row: Model!128 Goodwill
Mapping type: direct
Concepts used: Goodwill = 11387 mm
Unit conversion: raw USD to $mm
Sign: copied using model sign convention
Confidence: high
Value written: 11387</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 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r>
      </text>
    </comment>
    <comment ref="F129" authorId="0">
      <text>
        <r>
          <rPr>
            <b/>
          </rPr>
          <t xml:space="preserve">EDGAR Mapper:
</t>
        </r>
        <r>
          <t>Calculated as the residual needed for balance-sheet total assets to tie to EDGAR.</t>
        </r>
      </text>
    </comment>
    <comment ref="G129" authorId="0">
      <text>
        <r>
          <rPr>
            <b/>
          </rPr>
          <t xml:space="preserve">EDGAR Mapper:
</t>
        </r>
        <r>
          <t>Calculated as the residual needed for balance-sheet total assets to tie to EDGAR.</t>
        </r>
      </text>
    </comment>
    <comment ref="H129" authorId="0">
      <text>
        <r>
          <rPr>
            <b/>
          </rPr>
          <t xml:space="preserve">EDGAR Mapper:
</t>
        </r>
        <r>
          <t>Calculated as the residual needed for balance-sheet total assets to tie to EDGAR.</t>
        </r>
      </text>
    </comment>
    <comment ref="I129" authorId="0">
      <text>
        <r>
          <rPr>
            <b/>
          </rPr>
          <t xml:space="preserve">EDGAR Mapper:
</t>
        </r>
        <r>
          <t>Calculated as the residual needed for balance-sheet total assets to tie to EDGAR.</t>
        </r>
      </text>
    </comment>
    <comment ref="K129" authorId="0">
      <text>
        <r>
          <rPr>
            <b/>
          </rPr>
          <t xml:space="preserve">EDGAR Mapper:
</t>
        </r>
        <r>
          <t xml:space="preserve">======
ID#AAABbnJBVzw
Lilianna Ruby    (2025-01-14 21:09:38)
operating lease right of use assets, long term investments, deferred income taxes, other assets
EDGAR Mapper:
Calculated as the residual needed for balance-sheet total assets to tie to EDGAR.</t>
        </r>
      </text>
    </comment>
    <comment ref="L129" authorId="0">
      <text>
        <r>
          <rPr>
            <b/>
          </rPr>
          <t xml:space="preserve">EDGAR Mapper:
</t>
        </r>
        <r>
          <t>Calculated as the residual needed for balance-sheet total assets to tie to EDGAR.</t>
        </r>
      </text>
    </comment>
    <comment ref="M129" authorId="0">
      <text>
        <r>
          <rPr>
            <b/>
          </rPr>
          <t xml:space="preserve">EDGAR Mapper:
</t>
        </r>
        <r>
          <t>Calculated as the residual needed for balance-sheet total assets to tie to EDGAR.</t>
        </r>
      </text>
    </comment>
    <comment ref="N129" authorId="0">
      <text>
        <r>
          <rPr>
            <b/>
          </rPr>
          <t xml:space="preserve">EDGAR Mapper:
</t>
        </r>
        <r>
          <t>Calculated as the residual needed for balance-sheet total assets to tie to EDGAR.</t>
        </r>
      </text>
    </comment>
    <comment ref="P129" authorId="0">
      <text>
        <r>
          <rPr>
            <b/>
          </rPr>
          <t xml:space="preserve">EDGAR Mapper:
</t>
        </r>
        <r>
          <t xml:space="preserve">======
ID#AAABbnJBVxY
Lilianna Ruby    (2025-01-14 21:09:38)
operating lease right of use assets, long term investments, deferred income taxes, other assets
EDGAR Mapper:
EDGAR mapping:
Source: 10-Q, accession #0000070318-25-000017, filed 2025-04-29
Period: 1Q25 / period ended 2025-03-31
Model row: Model!129 Other Non-Current Assets
Mapping type: grouped
Concepts used: Assets = 29237 mm; CashAndCashEquivalentsAtCarryingValue = 2999 mm; AccountsReceivableNetCurrent = 2619 mm; InventoryNet = 344 mm; AssetsCurrent = 7913 mm; CashAndCashEquivalentsAtCarryingValue = 2999 mm; AccountsReceivableNetCurrent = 2619 mm; InventoryNet = 344 mm; PropertyPlantAndEquipmentAndFinanceLeaseRightOfUseAssetAfterAccumulatedDepreciationAndAmortization = 5991 mm; FiniteLivedIntangibleAssetsNet = 518 mm; Goodwill = 10786 mm
Unit conversion: raw USD to $mm
Sign: copied using model sign convention
Confidence: high
Value written: 4029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#0000070318-25-000039, filed 2025-07-30
Period: 2Q25 / period ended 2025-06-30
Model row: Model!129 Other Non-Current Assets
Mapping type: grouped
Concepts used: Assets = 28699 mm; CashAndCashEquivalentsAtCarryingValue = 2625 mm; AccountsReceivableNetCurrent = 2533 mm; InventoryNet = 338 mm; AssetsCurrent = 7298 mm; CashAndCashEquivalentsAtCarryingValue = 2625 mm; AccountsReceivableNetCurrent = 2533 mm; InventoryNet = 338 mm; PropertyPlantAndEquipmentAndFinanceLeaseRightOfUseAssetAfterAccumulatedDepreciationAndAmortization = 6024 mm; FiniteLivedIntangibleAssetsNet = 490 mm; Goodwill = 10935 mm
Unit conversion: raw USD to $mm
Sign: copied using model sign convention
Confidence: high
Value written: 3952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#0000070318-25-000046, filed 2025-10-28
Period: 3Q25 / period ended 2025-09-30
Model row: Model!129 Other Non-Current Assets
Mapping type: grouped
Concepts used: Assets = 29418 mm; CashAndCashEquivalentsAtCarryingValue = 2975 mm; AccountsReceivableNetCurrent = 2518 mm; InventoryNet = 346 mm; AssetsCurrent = 7810 mm; CashAndCashEquivalentsAtCarryingValue = 2975 mm; AccountsReceivableNetCurrent = 2518 mm; InventoryNet = 346 mm; PropertyPlantAndEquipmentAndFinanceLeaseRightOfUseAssetAfterAccumulatedDepreciationAndAmortization = 6091 mm; FiniteLivedIntangibleAssetsNet = 462 mm; Goodwill = 11158 mm
Unit conversion: raw USD to $mm
Sign: copied using model sign convention
Confidence: high
Value written: 3897
Notes: 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#0000070318-26-000012, filed 2026-02-17
Period: 4Q25 / period ended 2025-12-31
Model row: Model!129 Other Non-Current Assets
Mapping type: grouped
Concepts used: Assets = 29677 mm; CashAndCashEquivalentsAtCarryingValue = 2883 mm; AccountsReceivableNetCurrent = 2565 mm; InventoryNet = 348 mm; AssetsCurrent = 7849 mm; CashAndCashEquivalentsAtCarryingValue = 2883 mm; AccountsReceivableNetCurrent = 2565 mm; InventoryNet = 348 mm; PropertyPlantAndEquipmentAndFinanceLeaseRightOfUseAssetAfterAccumulatedDepreciationAndAmortization = 6315 mm; FiniteLivedIntangibleAssetsNet = 466 mm; Goodwill = 11198 mm
Unit conversion: raw USD to $mm
Sign: copied using model sign convention
Confidence: high
Value written: 3849
Notes: 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r>
      </text>
    </comment>
    <comment ref="U129" authorId="0">
      <text>
        <r>
          <rPr>
            <b/>
          </rPr>
          <t xml:space="preserve">EDGAR Mapper:
</t>
        </r>
        <r>
          <t xml:space="preserve">======
ID#AAABbnJBVy4
Lilianna Ruby    (2025-01-14 21:09:38)
Includes operating lease right-of-use assets, long-term investments, deferred income taxes, and other
EDGAR Mapper:
Calculated as the residual needed for balance-sheet total assets to tie to EDGAR.</t>
        </r>
      </text>
    </comment>
    <comment ref="C134" authorId="0">
      <text>
        <r>
          <rPr>
            <b/>
          </rPr>
          <t xml:space="preserve">EDGAR Mapper:
</t>
        </r>
        <r>
          <t>Grouped from EDGAR: Accounts Payable, Current. Grouped from EDGAR: Accounts Payable Current. Needs review: one or more historical periods were left unchanged because no matching EDGAR fact was found.</t>
        </r>
      </text>
    </comment>
    <comment ref="F134" authorId="0">
      <text>
        <r>
          <rPr>
            <b/>
          </rPr>
          <t xml:space="preserve">EDGAR Mapper:
</t>
        </r>
        <r>
          <t xml:space="preserve">EDGAR mapping:
Source: 10-Q, accession #0000070318-23-000019, filed 2023-04-28
Period: 1Q23 / period ended 2023-03-31
Model row: Model!134 Accounts Payable
Mapping type: grouped
Concepts used: AccountsPayableCurrent = 1192 mm
Unit conversion: raw USD to $mm
Sign: copied using model sign convention
Confidence: high
Value written: 1192
Notes: Grouped from EDGAR: Accounts Payable, Current.</t>
        </r>
      </text>
    </comment>
    <comment ref="G134" authorId="0">
      <text>
        <r>
          <rPr>
            <b/>
          </rPr>
          <t xml:space="preserve">EDGAR Mapper:
</t>
        </r>
        <r>
          <t xml:space="preserve">EDGAR mapping:
Source: 10-Q, accession #0000070318-23-000041, filed 2023-07-31
Period: 2Q23 / period ended 2023-06-30
Model row: Model!134 Accounts Payable
Mapping type: grouped
Concepts used: AccountsPayableCurrent = 1246 mm
Unit conversion: raw USD to $mm
Sign: copied using model sign convention
Confidence: high
Value written: 1246
Notes: Grouped from EDGAR: Accounts Payable, Current.</t>
        </r>
      </text>
    </comment>
    <comment ref="H134" authorId="0">
      <text>
        <r>
          <rPr>
            <b/>
          </rPr>
          <t xml:space="preserve">EDGAR Mapper:
</t>
        </r>
        <r>
          <t xml:space="preserve">EDGAR mapping:
Source: 10-Q, accession #0000070318-23-000055, filed 2023-10-30
Period: 3Q23 / period ended 2023-09-30
Model row: Model!134 Accounts Payable
Mapping type: grouped
Concepts used: AccountsPayableCurrent = 1202 mm
Unit conversion: raw USD to $mm
Sign: copied using model sign convention
Confidence: high
Value written: 1202
Notes: Grouped from EDGAR: Accounts Payable, Current.</t>
        </r>
      </text>
    </comment>
    <comment ref="I134" authorId="0">
      <text>
        <r>
          <rPr>
            <b/>
          </rPr>
          <t xml:space="preserve">EDGAR Mapper:
</t>
        </r>
        <r>
          <t xml:space="preserve">EDGAR mapping:
Source: 10-K, accession #0000070318-25-000009, filed 2025-02-18
Period: 4Q23 / period ended 2023-12-31
Model row: Model!134 Accounts Payable
Mapping type: grouped
Concepts used: AccountsPayableCurrent = 1408 mm
Unit conversion: raw USD to $mm
Sign: copied using model sign convention
Confidence: high
Value written: 1408
Notes: Grouped from EDGAR: Accounts Payable, Current.</t>
        </r>
      </text>
    </comment>
    <comment ref="K134" authorId="0">
      <text>
        <r>
          <rPr>
            <b/>
          </rPr>
          <t xml:space="preserve">EDGAR Mapper:
</t>
        </r>
        <r>
          <t xml:space="preserve">EDGAR mapping:
Source: 10-Q, accession #0000070318-24-000032, filed 2024-04-30
Period: 1Q24 / period ended 2024-03-31
Model row: Model!134 Accounts Payable
Mapping type: grouped
Concepts used: AccountsPayableCurrent = 1335 mm
Unit conversion: raw USD to $mm
Sign: copied using model sign convention
Confidence: high
Value written: 1335
Notes: Grouped from EDGAR: Accounts Payable, Current.</t>
        </r>
      </text>
    </comment>
    <comment ref="L134" authorId="0">
      <text>
        <r>
          <rPr>
            <b/>
          </rPr>
          <t xml:space="preserve">EDGAR Mapper:
</t>
        </r>
        <r>
          <t xml:space="preserve">EDGAR mapping:
Source: 10-Q, accession #0000070318-24-000041, filed 2024-07-30
Period: 2Q24 / period ended 2024-06-30
Model row: Model!134 Accounts Payable
Mapping type: grouped
Concepts used: AccountsPayableCurrent = 1270 mm
Unit conversion: raw USD to $mm
Sign: copied using model sign convention
Confidence: high
Value written: 1270
Notes: Grouped from EDGAR: Accounts Payable, Current.</t>
        </r>
      </text>
    </comment>
    <comment ref="M134" authorId="0">
      <text>
        <r>
          <rPr>
            <b/>
          </rPr>
          <t xml:space="preserve">EDGAR Mapper:
</t>
        </r>
        <r>
          <t xml:space="preserve">EDGAR mapping:
Source: 10-Q, accession #0000070318-24-000052, filed 2024-10-29
Period: 3Q24 / period ended 2024-09-30
Model row: Model!134 Accounts Payable
Mapping type: grouped
Concepts used: AccountsPayableCurrent = 1265 mm
Unit conversion: raw USD to $mm
Sign: copied using model sign convention
Confidence: high
Value written: 1265
Notes: Grouped from EDGAR: Accounts Payable, Current.</t>
        </r>
      </text>
    </comment>
    <comment ref="N134" authorId="0">
      <text>
        <r>
          <rPr>
            <b/>
          </rPr>
          <t xml:space="preserve">EDGAR Mapper:
</t>
        </r>
        <r>
          <t xml:space="preserve">EDGAR mapping:
Source: 10-K, accession #0000070318-26-000012, filed 2026-02-17
Period: 4Q24 / period ended 2024-12-31
Model row: Model!134 Accounts Payable
Mapping type: grouped
Concepts used: AccountsPayableCurrent = 1294 mm
Unit conversion: raw USD to $mm
Sign: copied using model sign convention
Confidence: high
Value written: 1294
Notes: Grouped from EDGAR: Accounts Payable, Current.</t>
        </r>
      </text>
    </comment>
    <comment ref="P134" authorId="0">
      <text>
        <r>
          <rPr>
            <b/>
          </rPr>
          <t xml:space="preserve">EDGAR Mapper:
</t>
        </r>
        <r>
          <t xml:space="preserve">EDGAR mapping:
Source: 10-Q, accession #0000070318-25-000017, filed 2025-04-29
Period: 1Q25 / period ended 2025-03-31
Model row: Model!134 Accounts Payable
Mapping type: grouped
Concepts used: AccountsPayableCurrent = 1327 mm
Unit conversion: raw USD to $mm
Sign: copied using model sign convention
Confidence: high
Value written: 1327
Notes: Grouped from EDGAR: Accounts Payable, Current.</t>
        </r>
      </text>
    </comment>
    <comment ref="Q134" authorId="0">
      <text>
        <r>
          <rPr>
            <b/>
          </rPr>
          <t xml:space="preserve">EDGAR Mapper:
</t>
        </r>
        <r>
          <t xml:space="preserve">EDGAR mapping:
Source: 10-Q, accession #0000070318-25-000039, filed 2025-07-30
Period: 2Q25 / period ended 2025-06-30
Model row: Model!134 Accounts Payable
Mapping type: grouped
Concepts used: AccountsPayableCurrent = 1360 mm
Unit conversion: raw USD to $mm
Sign: copied using model sign convention
Confidence: high
Value written: 1360
Notes: Grouped from EDGAR: Accounts Payable, Current.</t>
        </r>
      </text>
    </comment>
    <comment ref="R134" authorId="0">
      <text>
        <r>
          <rPr>
            <b/>
          </rPr>
          <t xml:space="preserve">EDGAR Mapper:
</t>
        </r>
        <r>
          <t xml:space="preserve">EDGAR mapping:
Source: 10-Q, accession #0000070318-25-000046, filed 2025-10-28
Period: 3Q25 / period ended 2025-09-30
Model row: Model!134 Accounts Payable
Mapping type: grouped
Concepts used: AccountsPayableCurrent = 1356 mm
Unit conversion: raw USD to $mm
Sign: copied using model sign convention
Confidence: high
Value written: 1356
Notes: Grouped from EDGAR: Accounts Payable, Current.</t>
        </r>
      </text>
    </comment>
    <comment ref="S134" authorId="0">
      <text>
        <r>
          <rPr>
            <b/>
          </rPr>
          <t xml:space="preserve">EDGAR Mapper:
</t>
        </r>
        <r>
          <t xml:space="preserve">EDGAR mapping:
Source: 10-K, accession #0000070318-26-000012, filed 2026-02-17
Period: 4Q25 / period ended 2025-12-31
Model row: Model!134 Accounts Payable
Mapping type: grouped
Concepts used: AccountsPayableCurrent = 1360 mm
Unit conversion: raw USD to $mm
Sign: copied using model sign convention
Confidence: high
Value written: 1360
Notes: Grouped from EDGAR: Accounts Payable Current.</t>
        </r>
      </text>
    </comment>
    <comment ref="U134" authorId="0">
      <text>
        <r>
          <rPr>
            <b/>
          </rPr>
          <t xml:space="preserve">EDGAR Mapper:
</t>
        </r>
        <r>
          <t xml:space="preserve">EDGAR mapping:
Source: 10-Q, accession #0000070318-26-000026, filed 2026-04-30
Period: 1Q26 / period ended 2026-03-31
Model row: Model!134 Accounts Payable
Mapping type: grouped
Concepts used: AccountsPayableCurrent = 1339 mm
Unit conversion: raw USD to $mm
Sign: copied using model sign convention
Confidence: high
Value written: 1339
Notes: Grouped from EDGAR: Accounts Payable, Current.</t>
        </r>
      </text>
    </comment>
    <comment ref="C135" authorId="0">
      <text>
        <r>
          <rPr>
            <b/>
          </rPr>
          <t xml:space="preserve">EDGAR Mapper:
</t>
        </r>
        <r>
          <t>Grouped from EDGAR: Liabilities, Current, Accounts Payable, Current, Contract with Customer, Liability, Current. Derived from SEC current liabilities less separately modeled accounts payable and other current liabilities. Grouped from EDGAR: Liabilities, Current, Accounts Payable, Current, Other Liabilities, Current. Derived from SEC current liabilities less separately modeled accounts payable and other current liabilities. Grouped from EDGAR: Liabilities Current, Accounts Payable Current, Other Liabilities Current. Derived from SEC current liabilities less separately modeled accounts payable and other current liabilities. Needs review: one or more historical periods were left unchanged because no matching EDGAR fact was found.</t>
        </r>
      </text>
    </comment>
    <comment ref="F135" authorId="0">
      <text>
        <r>
          <rPr>
            <b/>
          </rPr>
          <t xml:space="preserve">EDGAR Mapper:
</t>
        </r>
        <r>
          <t xml:space="preserve">EDGAR mapping:
Source: 10-Q, accession #0000070318-23-000019, filed 2023-04-28
Period: 1Q23 / period ended 2023-03-31
Model row: Model!135 Accrued Liabilities
Mapping type: grouped
Concepts used: LiabilitiesCurrent = 4219 mm; AccountsPayableCurrent = 1192 mm; ContractWithCustomerLiabilityCurrent = 76 mm
Unit conversion: raw USD to $mm
Sign: copied using model sign convention
Confidence: high
Value written: 2951
Notes: Grouped from EDGAR: Liabilities, Current, Accounts Payable, Current, Contract with Customer, Liability, Current. Derived from SEC current liabilities less separately modeled accounts payable and other current liabilities.</t>
        </r>
      </text>
    </comment>
    <comment ref="G135" authorId="0">
      <text>
        <r>
          <rPr>
            <b/>
          </rPr>
          <t xml:space="preserve">EDGAR Mapper:
</t>
        </r>
        <r>
          <t xml:space="preserve">EDGAR mapping:
Source: 10-Q, accession #0000070318-23-000041, filed 2023-07-31
Period: 2Q23 / period ended 2023-06-30
Model row: Model!135 Accrued Liabilities
Mapping type: grouped
Concepts used: LiabilitiesCurrent = 4152 mm; AccountsPayableCurrent = 1246 mm; ContractWithCustomerLiabilityCurrent = 76 mm
Unit conversion: raw USD to $mm
Sign: copied using model sign convention
Confidence: high
Value written: 2830
Notes: Grouped from EDGAR: Liabilities, Current, Accounts Payable, Current, Contract with Customer, Liability, Current. Derived from SEC current liabilities less separately modeled accounts payable and other current liabilities.</t>
        </r>
      </text>
    </comment>
    <comment ref="H135" authorId="0">
      <text>
        <r>
          <rPr>
            <b/>
          </rPr>
          <t xml:space="preserve">EDGAR Mapper:
</t>
        </r>
        <r>
          <t xml:space="preserve">EDGAR mapping:
Source: 10-Q, accession #0000070318-23-000055, filed 2023-10-30
Period: 3Q23 / period ended 2023-09-30
Model row: Model!135 Accrued Liabilities
Mapping type: grouped
Concepts used: LiabilitiesCurrent = 4432 mm; AccountsPayableCurrent = 1202 mm; ContractWithCustomerLiabilityCurrent = 86 mm
Unit conversion: raw USD to $mm
Sign: copied using model sign convention
Confidence: high
Value written: 3144
Notes: Grouped from EDGAR: Liabilities, Current, Accounts Payable, Current, Contract with Customer, Liability, Current. Derived from SEC current liabilities less separately modeled accounts payable and other current liabilities.</t>
        </r>
      </text>
    </comment>
    <comment ref="I135" authorId="0">
      <text>
        <r>
          <rPr>
            <b/>
          </rPr>
          <t xml:space="preserve">EDGAR Mapper:
</t>
        </r>
        <r>
          <t xml:space="preserve">EDGAR mapping:
Source: 10-K, accession #0000070318-25-000009, filed 2025-02-18
Period: 4Q23 / period ended 2023-12-31
Model row: Model!135 Accrued Liabilities
Mapping type: grouped
Concepts used: LiabilitiesCurrent = 4760 mm; AccountsPayableCurrent = 1408 mm; ContractWithCustomerLiabilityCurrent = 0 mm
Unit conversion: raw USD to $mm
Sign: copied using model sign convention
Confidence: high
Value written: 3352
Notes: Grouped from EDGAR: Liabilities, Current, Accounts Payable, Current, Contract with Customer, Liability, Current. Derived from SEC current liabilities less separately modeled accounts payable and other current liabilities.</t>
        </r>
      </text>
    </comment>
    <comment ref="K135" authorId="0">
      <text>
        <r>
          <rPr>
            <b/>
          </rPr>
          <t xml:space="preserve">EDGAR Mapper:
</t>
        </r>
        <r>
          <t xml:space="preserve">EDGAR mapping:
Source: 10-Q, accession #0000070318-24-000032, filed 2024-04-30
Period: 1Q24 / period ended 2024-03-31
Model row: Model!135 Accrued Liabilities
Mapping type: grouped
Concepts used: LiabilitiesCurrent = 5416 mm; AccountsPayableCurrent = 1335 mm; OtherLiabilitiesCurrent = 1868 mm
Unit conversion: raw USD to $mm
Sign: copied using model sign convention
Confidence: high
Value written: 2213
Notes: Grouped from EDGAR: Liabilities, Current, Accounts Payable, Current, Other Liabilities, Current. Derived from SEC current liabilities less separately modeled accounts payable and other current liabilities.</t>
        </r>
      </text>
    </comment>
    <comment ref="L135" authorId="0">
      <text>
        <r>
          <rPr>
            <b/>
          </rPr>
          <t xml:space="preserve">EDGAR Mapper:
</t>
        </r>
        <r>
          <t xml:space="preserve">EDGAR mapping:
Source: 10-Q, accession #0000070318-24-000041, filed 2024-07-30
Period: 2Q24 / period ended 2024-06-30
Model row: Model!135 Accrued Liabilities
Mapping type: grouped
Concepts used: LiabilitiesCurrent = 5493 mm; AccountsPayableCurrent = 1270 mm; OtherLiabilitiesCurrent = 2175 mm
Unit conversion: raw USD to $mm
Sign: copied using model sign convention
Confidence: high
Value written: 2048
Notes: Grouped from EDGAR: Liabilities, Current, Accounts Payable, Current, Other Liabilities, Current. Derived from SEC current liabilities less separately modeled accounts payable and other current liabilities.</t>
        </r>
      </text>
    </comment>
    <comment ref="M135" authorId="0">
      <text>
        <r>
          <rPr>
            <b/>
          </rPr>
          <t xml:space="preserve">EDGAR Mapper:
</t>
        </r>
        <r>
          <t xml:space="preserve">EDGAR mapping:
Source: 10-Q, accession #0000070318-24-000052, filed 2024-10-29
Period: 3Q24 / period ended 2024-09-30
Model row: Model!135 Accrued Liabilities
Mapping type: grouped
Concepts used: LiabilitiesCurrent = 5538 mm; AccountsPayableCurrent = 1265 mm; OtherLiabilitiesCurrent = 1927 mm
Unit conversion: raw USD to $mm
Sign: copied using model sign convention
Confidence: high
Value written: 2346
Notes: Grouped from EDGAR: Liabilities, Current, Accounts Payable, Current, Other Liabilities, Current. Derived from SEC current liabilities less separately modeled accounts payable and other current liabilities.</t>
        </r>
      </text>
    </comment>
    <comment ref="N135" authorId="0">
      <text>
        <r>
          <rPr>
            <b/>
          </rPr>
          <t xml:space="preserve">EDGAR Mapper:
</t>
        </r>
        <r>
          <t xml:space="preserve">EDGAR mapping:
Source: 10-K, accession #0000070318-26-000012, filed 2026-02-17
Period: 4Q24 / period ended 2024-12-31
Model row: Model!135 Accrued Liabilities
Mapping type: grouped
Concepts used: LiabilitiesCurrent = 4310 mm; AccountsPayableCurrent = 1294 mm; ContractWithCustomerLiabilityCurrent = 0 mm
Unit conversion: raw USD to $mm
Sign: copied using model sign convention
Confidence: high
Value written: 3016
Notes: Grouped from EDGAR: Liabilities, Current, Accounts Payable, Current, Contract with Customer, Liability, Current. Derived from SEC current liabilities less separately modeled accounts payable and other current liabilities.</t>
        </r>
      </text>
    </comment>
    <comment ref="P135" authorId="0">
      <text>
        <r>
          <rPr>
            <b/>
          </rPr>
          <t xml:space="preserve">EDGAR Mapper:
</t>
        </r>
        <r>
          <t xml:space="preserve">EDGAR mapping:
Source: 10-Q, accession #0000070318-25-000017, filed 2025-04-29
Period: 1Q25 / period ended 2025-03-31
Model row: Model!135 Accrued Liabilities
Mapping type: grouped
Concepts used: LiabilitiesCurrent = 4451 mm; AccountsPayableCurrent = 1327 mm; OtherLiabilitiesCurrent = 1649 mm
Unit conversion: raw USD to $mm
Sign: copied using model sign convention
Confidence: high
Value written: 1475
Notes: Grouped from EDGAR: Liabilities, Current, Accounts Payable, Current, Other Liabilities, Current. Derived from SEC current liabilities less separately modeled accounts payable and other current liabilities.</t>
        </r>
      </text>
    </comment>
    <comment ref="Q135" authorId="0">
      <text>
        <r>
          <rPr>
            <b/>
          </rPr>
          <t xml:space="preserve">EDGAR Mapper:
</t>
        </r>
        <r>
          <t xml:space="preserve">EDGAR mapping:
Source: 10-Q, accession #0000070318-25-000039, filed 2025-07-30
Period: 2Q25 / period ended 2025-06-30
Model row: Model!135 Accrued Liabilities
Mapping type: grouped
Concepts used: LiabilitiesCurrent = 4271 mm; AccountsPayableCurrent = 1360 mm; OtherLiabilitiesCurrent = 1574 mm
Unit conversion: raw USD to $mm
Sign: copied using model sign convention
Confidence: high
Value written: 1337
Notes: Grouped from EDGAR: Liabilities, Current, Accounts Payable, Current, Other Liabilities, Current. Derived from SEC current liabilities less separately modeled accounts payable and other current liabilities.</t>
        </r>
      </text>
    </comment>
    <comment ref="R135" authorId="0">
      <text>
        <r>
          <rPr>
            <b/>
          </rPr>
          <t xml:space="preserve">EDGAR Mapper:
</t>
        </r>
        <r>
          <t xml:space="preserve">EDGAR mapping:
Source: 10-Q, accession #0000070318-25-000046, filed 2025-10-28
Period: 3Q25 / period ended 2025-09-30
Model row: Model!135 Accrued Liabilities
Mapping type: grouped
Concepts used: LiabilitiesCurrent = 4560 mm; AccountsPayableCurrent = 1356 mm; OtherLiabilitiesCurrent = 1687 mm
Unit conversion: raw USD to $mm
Sign: copied using model sign convention
Confidence: high
Value written: 1517
Notes: Grouped from EDGAR: Liabilities, Current, Accounts Payable, Current, Other Liabilities, Current. Derived from SEC current liabilities less separately modeled accounts payable and other current liabilities.</t>
        </r>
      </text>
    </comment>
    <comment ref="S135" authorId="0">
      <text>
        <r>
          <rPr>
            <b/>
          </rPr>
          <t xml:space="preserve">EDGAR Mapper:
</t>
        </r>
        <r>
          <t xml:space="preserve">EDGAR mapping:
Source: 10-K, accession #0000070318-26-000012, filed 2026-02-17
Period: 4Q25 / period ended 2025-12-31
Model row: Model!135 Accrued Liabilities
Mapping type: grouped
Concepts used: LiabilitiesCurrent = 4463 mm; AccountsPayableCurrent = 1360 mm; OtherLiabilitiesCurrent = 1809 mm
Unit conversion: raw USD to $mm
Sign: copied using model sign convention
Confidence: high
Value written: 1294
Notes: Grouped from EDGAR: Liabilities Current, Accounts Payable Current, Other Liabilities Current. Derived from SEC current liabilities less separately modeled accounts payable and other current liabilities.</t>
        </r>
      </text>
    </comment>
    <comment ref="U135" authorId="0">
      <text>
        <r>
          <rPr>
            <b/>
          </rPr>
          <t xml:space="preserve">EDGAR Mapper:
</t>
        </r>
        <r>
          <t xml:space="preserve">EDGAR mapping:
Source: 10-Q, accession #0000070318-26-000026, filed 2026-04-30
Period: 1Q26 / period ended 2026-03-31
Model row: Model!135 Accrued Liabilities
Mapping type: grouped
Concepts used: LiabilitiesCurrent = 6152 mm; AccountsPayableCurrent = 1339 mm; OtherLiabilitiesCurrent = 3083 mm
Unit conversion: raw USD to $mm
Sign: copied using model sign convention
Confidence: high
Value written: 1730
Notes: Grouped from EDGAR: Liabilities, Current, Accounts Payable, Current, Other Liabilities, Current. Derived from SEC current liabilities less separately modeled accounts payable and other current liabilities.</t>
        </r>
      </text>
    </comment>
    <comment ref="C136" authorId="0">
      <text>
        <r>
          <rPr>
            <b/>
          </rPr>
          <t xml:space="preserve">EDGAR Mapper:
</t>
        </r>
        <r>
          <t xml:space="preserve">======
ID#AAABbnJBV0M
Luke Brennan    (2025-01-14 21:09:38)
Advances and Billings in Excess of Related Costs
EDGAR Mapper:
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 Grouped from EDGAR: Liabilities, Short Term Borrowings, Accounts Payable Current, Securities Loaned, Long-term Debt and Lease Obligation, Including Current Maturities, Deferred Tax Liabilities Noncurrent, Other Liabilities Noncurrent. Calculated from total liabilities less separately modeled borrowings, payables, securities loaned, debt, deferred taxes, and other non-current liabilities.</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EDGAR mapping:
Source: 10-Q, accession #0000070318-25-000017, filed 2025-04-29
Period: 1Q25 / period ended 2025-03-31
Model row: Model!136 Other Current Liabilities
Mapping type: grouped
Concepts used: Liabilities = 20584 mm; ShortTermBorrowings = 0 mm; AccountsPayableCurrent = 1327 mm; SecuritiesLoaned = 0 mm; LongTermDebtAndCapitalLeaseObligations = 13082 mm; DeferredTaxLiabilitiesNoncurrent = 0 mm; OtherLiabilitiesNoncurrent = 1651 mm
Unit conversion: raw USD to $mm
Sign: copied using model sign convention
Confidence: high
Value written: 4524
Notes: 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t>
        </r>
      </text>
    </comment>
    <comment ref="Q136" authorId="0">
      <text>
        <r>
          <rPr>
            <b/>
          </rPr>
          <t xml:space="preserve">EDGAR Mapper:
</t>
        </r>
        <r>
          <t xml:space="preserve">EDGAR mapping:
Source: 10-Q, accession #0000070318-25-000039, filed 2025-07-30
Period: 2Q25 / period ended 2025-06-30
Model row: Model!136 Other Current Liabilities
Mapping type: grouped
Concepts used: Liabilities = 20397 mm; ShortTermBorrowings = 0 mm; AccountsPayableCurrent = 1360 mm; SecuritiesLoaned = 0 mm; LongTermDebtAndCapitalLeaseObligations = 13091 mm; DeferredTaxLiabilitiesNoncurrent = 0 mm; OtherLiabilitiesNoncurrent = 1635 mm
Unit conversion: raw USD to $mm
Sign: copied using model sign convention
Confidence: high
Value written: 4311
Notes: 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t>
        </r>
      </text>
    </comment>
    <comment ref="R136" authorId="0">
      <text>
        <r>
          <rPr>
            <b/>
          </rPr>
          <t xml:space="preserve">EDGAR Mapper:
</t>
        </r>
        <r>
          <t xml:space="preserve">EDGAR mapping:
Source: 10-Q, accession #0000070318-25-000046, filed 2025-10-28
Period: 3Q25 / period ended 2025-09-30
Model row: Model!136 Other Current Liabilities
Mapping type: grouped
Concepts used: Liabilities = 20718 mm; ShortTermBorrowings = 0 mm; AccountsPayableCurrent = 1356 mm; SecuritiesLoaned = 0 mm; LongTermDebtAndCapitalLeaseObligations = 13102 mm; DeferredTaxLiabilitiesNoncurrent = 0 mm; OtherLiabilitiesNoncurrent = 1600 mm
Unit conversion: raw USD to $mm
Sign: copied using model sign convention
Confidence: high
Value written: 4660
Notes: 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t>
        </r>
      </text>
    </comment>
    <comment ref="S136" authorId="0">
      <text>
        <r>
          <rPr>
            <b/>
          </rPr>
          <t xml:space="preserve">EDGAR Mapper:
</t>
        </r>
        <r>
          <t xml:space="preserve">EDGAR mapping:
Source: 10-K, accession #0000070318-26-000012, filed 2026-02-17
Period: 4Q25 / period ended 2025-12-31
Model row: Model!136 Other Current Liabilities
Mapping type: grouped
Concepts used: Liabilities = 20704 mm; ShortTermBorrowings = 0 mm; AccountsPayableCurrent = 1360 mm; SecuritiesLoaned = 0 mm; LongTermDebtAndCapitalLeaseObligationsIncludingCurrentMaturities = 13265 mm; DeferredTaxLiabilitiesNoncurrent = 0 mm; OtherLiabilitiesNoncurrent = 1713 mm
Unit conversion: raw USD to $mm
Sign: copied using model sign convention
Confidence: high
Value written: 4366
Notes: Grouped from EDGAR: Liabilities, Short Term Borrowings, Accounts Payable Current, Securities Loaned, Long-term Debt and Lease Obligation, Including Current Maturities, Deferred Tax Liabilities Noncurrent, Other Liabilities Noncurrent. Calculated from total liabilities less separately modeled borrowings, payables, securities loaned, debt, deferred taxes, and other non-current liabilities.</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Needs review: one or more historical periods were left unchanged because no matching EDGAR fact was found.</t>
        </r>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Needs review: one or more historical periods were left unchanged because no matching EDGAR fact was found.</t>
        </r>
      </text>
    </comment>
    <comment ref="C141" authorId="0">
      <text>
        <r>
          <rPr>
            <b/>
          </rPr>
          <t xml:space="preserve">EDGAR Mapper:
</t>
        </r>
        <r>
          <t>Needs review: one or more historical periods were left unchanged because no matching EDGAR fact was found.</t>
        </r>
      </text>
    </comment>
    <comment ref="C142" authorId="0">
      <text>
        <r>
          <rPr>
            <b/>
          </rPr>
          <t xml:space="preserve">EDGAR Mapper:
</t>
        </r>
        <r>
          <t xml:space="preserve">======
ID#AAABbnJBVw8
Luke Brennan    (2025-01-14 21:09:38)
Accrued Retiree Healthcare
Accrued Pension Plan Liability, net
and Other LT Liabilities
EDGAR Mapper:
Grouped from EDGAR: Other Liabilities, Noncurrent. Mapped to a direct SEC other non-current liability concept when reported. Grouped from EDGAR: Other Liabilities Noncurrent, Operating Lease, Liability, Noncurrent. Mapped to a direct SEC other non-current liability concept when reported.</t>
        </r>
      </text>
    </comment>
    <comment ref="F142" authorId="0">
      <text>
        <r>
          <rPr>
            <b/>
          </rPr>
          <t xml:space="preserve">EDGAR Mapper:
</t>
        </r>
        <r>
          <t>Calculated as the residual needed for balance-sheet total liabilities to tie to EDGAR.</t>
        </r>
      </text>
    </comment>
    <comment ref="G142" authorId="0">
      <text>
        <r>
          <rPr>
            <b/>
          </rPr>
          <t xml:space="preserve">EDGAR Mapper:
</t>
        </r>
        <r>
          <t>Calculated as the residual needed for balance-sheet total liabilities to tie to EDGAR.</t>
        </r>
      </text>
    </comment>
    <comment ref="H142" authorId="0">
      <text>
        <r>
          <rPr>
            <b/>
          </rPr>
          <t xml:space="preserve">EDGAR Mapper:
</t>
        </r>
        <r>
          <t>Calculated as the residual needed for balance-sheet total liabilities to tie to EDGAR.</t>
        </r>
      </text>
    </comment>
    <comment ref="I142" authorId="0">
      <text>
        <r>
          <rPr>
            <b/>
          </rPr>
          <t xml:space="preserve">EDGAR Mapper:
</t>
        </r>
        <r>
          <t>Calculated as the residual needed for balance-sheet total liabilities to tie to EDGAR.</t>
        </r>
      </text>
    </comment>
    <comment ref="K142" authorId="0">
      <text>
        <r>
          <rPr>
            <b/>
          </rPr>
          <t xml:space="preserve">EDGAR Mapper:
</t>
        </r>
        <r>
          <t>Calculated as the residual needed for balance-sheet total liabilities to tie to EDGAR.</t>
        </r>
      </text>
    </comment>
    <comment ref="L142" authorId="0">
      <text>
        <r>
          <rPr>
            <b/>
          </rPr>
          <t xml:space="preserve">EDGAR Mapper:
</t>
        </r>
        <r>
          <t>Calculated as the residual needed for balance-sheet total liabilities to tie to EDGAR.</t>
        </r>
      </text>
    </comment>
    <comment ref="M142" authorId="0">
      <text>
        <r>
          <rPr>
            <b/>
          </rPr>
          <t xml:space="preserve">EDGAR Mapper:
</t>
        </r>
        <r>
          <t>Calculated as the residual needed for balance-sheet total liabilities to tie to EDGAR.</t>
        </r>
      </text>
    </comment>
    <comment ref="N142" authorId="0">
      <text>
        <r>
          <rPr>
            <b/>
          </rPr>
          <t xml:space="preserve">EDGAR Mapper:
</t>
        </r>
        <r>
          <t>Calculated as the residual needed for balance-sheet total liabilities to tie to EDGAR.</t>
        </r>
      </text>
    </comment>
    <comment ref="P142" authorId="0">
      <text>
        <r>
          <rPr>
            <b/>
          </rPr>
          <t xml:space="preserve">EDGAR Mapper:
</t>
        </r>
        <r>
          <t xml:space="preserve">EDGAR mapping:
Source: 10-Q, accession #0000070318-25-000017, filed 2025-04-29
Period: 1Q25 / period ended 2025-03-31
Model row: Model!142 Other Non-Current Liabilities
Mapping type: grouped
Concepts used: OtherLiabilitiesNoncurrent = 1651 mm
Unit conversion: raw USD to $mm
Sign: copied using model sign convention
Confidence: high
Value written: 1651
Notes: Grouped from EDGAR: Other Liabilities, Noncurrent. Mapped to a direct SEC other non-current liability concept when reported.
EDGAR Mapper:
Calculated as the residual needed for balance-sheet total liabilities to tie to EDGAR.</t>
        </r>
      </text>
    </comment>
    <comment ref="Q142" authorId="0">
      <text>
        <r>
          <rPr>
            <b/>
          </rPr>
          <t xml:space="preserve">EDGAR Mapper:
</t>
        </r>
        <r>
          <t xml:space="preserve">EDGAR mapping:
Source: 10-Q, accession #0000070318-25-000039, filed 2025-07-30
Period: 2Q25 / period ended 2025-06-30
Model row: Model!142 Other Non-Current Liabilities
Mapping type: grouped
Concepts used: OtherLiabilitiesNoncurrent = 1635 mm
Unit conversion: raw USD to $mm
Sign: copied using model sign convention
Confidence: high
Value written: 1635
Notes: Grouped from EDGAR: Other Liabilities, Noncurrent. Mapped to a direct SEC other non-current liability concept when reported.
EDGAR Mapper:
Calculated as the residual needed for balance-sheet total liabilities to tie to EDGAR.</t>
        </r>
      </text>
    </comment>
    <comment ref="R142" authorId="0">
      <text>
        <r>
          <rPr>
            <b/>
          </rPr>
          <t xml:space="preserve">EDGAR Mapper:
</t>
        </r>
        <r>
          <t xml:space="preserve">EDGAR mapping:
Source: 10-Q, accession #0000070318-25-000046, filed 2025-10-28
Period: 3Q25 / period ended 2025-09-30
Model row: Model!142 Other Non-Current Liabilities
Mapping type: grouped
Concepts used: OtherLiabilitiesNoncurrent = 1600 mm
Unit conversion: raw USD to $mm
Sign: copied using model sign convention
Confidence: high
Value written: 1600
Notes: Grouped from EDGAR: Other Liabilities, Noncurrent. Mapped to a direct SEC other non-current liability concept when reported.
EDGAR Mapper:
Calculated as the residual needed for balance-sheet total liabilities to tie to EDGAR.</t>
        </r>
      </text>
    </comment>
    <comment ref="S142" authorId="0">
      <text>
        <r>
          <rPr>
            <b/>
          </rPr>
          <t xml:space="preserve">EDGAR Mapper:
</t>
        </r>
        <r>
          <t xml:space="preserve">EDGAR mapping:
Source: 10-K, accession #0000070318-26-000012, filed 2026-02-17
Period: 4Q25 / period ended 2025-12-31
Model row: Model!142 Other Non-Current Liabilities
Mapping type: grouped
Concepts used: OtherLiabilitiesNoncurrent = 1713 mm; OperatingLeaseLiabilityNoncurrent = 1043 mm
Unit conversion: raw USD to $mm
Sign: copied using model sign convention
Confidence: high
Value written: 2756
Notes: Grouped from EDGAR: Other Liabilities Noncurrent, Operating Lease, Liability, Noncurrent. Mapped to a direct SEC other non-current liability concept when reported.
EDGAR Mapper:
Calculated as the residual needed for balance-sheet total liabilities to tie to EDGAR.</t>
        </r>
      </text>
    </comment>
    <comment ref="U142" authorId="0">
      <text>
        <r>
          <rPr>
            <b/>
          </rPr>
          <t xml:space="preserve">EDGAR Mapper:
</t>
        </r>
        <r>
          <t>Calculated as the residual needed for balance-sheet total liabilities to tie to EDGAR.</t>
        </r>
      </text>
    </comment>
    <comment ref="V142" authorId="0">
      <text>
        <r>
          <rPr>
            <b/>
          </rPr>
          <t xml:space="preserve">EDGAR Mapper:
</t>
        </r>
        <r>
          <t>Calculated as the residual needed for the Balance Sheet Check to tie to zero using EDGAR-sourced mapped balances.</t>
        </r>
      </text>
    </comment>
    <comment ref="C147" authorId="0">
      <text>
        <r>
          <rPr>
            <b/>
          </rPr>
          <t xml:space="preserve">EDGAR Mapper:
</t>
        </r>
        <r>
          <t>Grouped from EDGAR: Stockholders' Equity Attributable to Parent, Retained Earnings (Accumulated Deficit), Treasury Stock, Common, Value, Accumulated Other Comprehensive Income (Loss), Net of Tax. Included stockholders' equity less retained earnings, treasury stock, and AOCI. Grouped from EDGAR: Stockholders Equity, Retained Earnings Accumulated Deficit, Treasury Stock Common Value, Accumulated Other Comprehensive income loss net of Tax. Included stockholders' equity less retained earnings, treasury stock, and AOCI. Needs review: one or more historical periods were left unchanged because no matching EDGAR fact was found.</t>
        </r>
      </text>
    </comment>
    <comment ref="F147" authorId="0">
      <text>
        <r>
          <rPr>
            <b/>
          </rPr>
          <t xml:space="preserve">EDGAR Mapper:
</t>
        </r>
        <r>
          <t xml:space="preserve">EDGAR mapping:
Source: 10-Q, accession #0000070318-23-000019, filed 2023-04-28
Period: 1Q23 / period ended 2023-03-31
Model row: Model!147 Common Stock &amp; APIC
Mapping type: grouped
Concepts used: StockholdersEquity = 1233 mm; RetainedEarningsAccumulatedDeficit = -660 mm; TreasuryStockCommonValue = 2710 mm; AccumulatedOtherComprehensiveIncomeLossNetOfTax = -179 mm
Unit conversion: raw USD to $mm
Sign: copied using model sign convention
Confidence: high
Value written: 4782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G147" authorId="0">
      <text>
        <r>
          <rPr>
            <b/>
          </rPr>
          <t xml:space="preserve">EDGAR Mapper:
</t>
        </r>
        <r>
          <t xml:space="preserve">EDGAR mapping:
Source: 10-Q, accession #0000070318-23-000041, filed 2023-07-31
Period: 2Q23 / period ended 2023-06-30
Model row: Model!147 Common Stock &amp; APIC
Mapping type: grouped
Concepts used: StockholdersEquity = 1343 mm; RetainedEarningsAccumulatedDeficit = -537 mm; TreasuryStockCommonValue = 2750 mm; AccumulatedOtherComprehensiveIncomeLossNetOfTax = -178 mm
Unit conversion: raw USD to $mm
Sign: copied using model sign convention
Confidence: high
Value written: 4808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H147" authorId="0">
      <text>
        <r>
          <rPr>
            <b/>
          </rPr>
          <t xml:space="preserve">EDGAR Mapper:
</t>
        </r>
        <r>
          <t xml:space="preserve">EDGAR mapping:
Source: 10-Q, accession #0000070318-23-000055, filed 2023-10-30
Period: 3Q23 / period ended 2023-09-30
Model row: Model!147 Common Stock &amp; APIC
Mapping type: grouped
Concepts used: StockholdersEquity = 1464 mm; RetainedEarningsAccumulatedDeficit = -436 mm; TreasuryStockCommonValue = 2750 mm; AccumulatedOtherComprehensiveIncomeLossNetOfTax = -176 mm
Unit conversion: raw USD to $mm
Sign: copied using model sign convention
Confidence: high
Value written: 4826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I147" authorId="0">
      <text>
        <r>
          <rPr>
            <b/>
          </rPr>
          <t xml:space="preserve">EDGAR Mapper:
</t>
        </r>
        <r>
          <t xml:space="preserve">EDGAR mapping:
Source: 10-K, accession #0000070318-25-000009, filed 2025-02-18
Period: 4Q23 / period ended 2023-12-31
Model row: Model!147 Common Stock &amp; APIC
Mapping type: grouped
Concepts used: StockholdersEquity = 1608 mm; RetainedEarningsAccumulatedDeficit = -192 mm; TreasuryStockCommonValue = 2861 mm; AccumulatedOtherComprehensiveIncomeLossNetOfTax = -181 mm
Unit conversion: raw USD to $mm
Sign: copied using model sign convention
Confidence: high
Value written: 4842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K147" authorId="0">
      <text>
        <r>
          <rPr>
            <b/>
          </rPr>
          <t xml:space="preserve">EDGAR Mapper:
</t>
        </r>
        <r>
          <t xml:space="preserve">EDGAR mapping:
Source: 10-Q, accession #0000070318-24-000032, filed 2024-04-30
Period: 1Q24 / period ended 2024-03-31
Model row: Model!147 Common Stock &amp; APIC
Mapping type: grouped
Concepts used: StockholdersEquity = 3453 mm; RetainedEarningsAccumulatedDeficit = 1959 mm; TreasuryStockCommonValue = 3141 mm; AccumulatedOtherComprehensiveIncomeLossNetOfTax = -179 mm
Unit conversion: raw USD to $mm
Sign: copied using model sign convention
Confidence: high
Value written: 4814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L147" authorId="0">
      <text>
        <r>
          <rPr>
            <b/>
          </rPr>
          <t xml:space="preserve">EDGAR Mapper:
</t>
        </r>
        <r>
          <t xml:space="preserve">EDGAR mapping:
Source: 10-Q, accession #0000070318-24-000041, filed 2024-07-30
Period: 2Q24 / period ended 2024-06-30
Model row: Model!147 Common Stock &amp; APIC
Mapping type: grouped
Concepts used: StockholdersEquity = 3475 mm; RetainedEarningsAccumulatedDeficit = 2218 mm; TreasuryStockCommonValue = 3414 mm; AccumulatedOtherComprehensiveIncomeLossNetOfTax = -177 mm
Unit conversion: raw USD to $mm
Sign: copied using model sign convention
Confidence: high
Value written: 4848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M147" authorId="0">
      <text>
        <r>
          <rPr>
            <b/>
          </rPr>
          <t xml:space="preserve">EDGAR Mapper:
</t>
        </r>
        <r>
          <t xml:space="preserve">EDGAR mapping:
Source: 10-Q, accession #0000070318-24-000052, filed 2024-10-29
Period: 3Q24 / period ended 2024-09-30
Model row: Model!147 Common Stock &amp; APIC
Mapping type: grouped
Concepts used: StockholdersEquity = 3834 mm; RetainedEarningsAccumulatedDeficit = 2690 mm; TreasuryStockCommonValue = 3538 mm; AccumulatedOtherComprehensiveIncomeLossNetOfTax = -175 mm
Unit conversion: raw USD to $mm
Sign: copied using model sign convention
Confidence: high
Value written: 4857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N147" authorId="0">
      <text>
        <r>
          <rPr>
            <b/>
          </rPr>
          <t xml:space="preserve">EDGAR Mapper:
</t>
        </r>
        <r>
          <t xml:space="preserve">EDGAR mapping:
Source: 10-K, accession #0000070318-26-000012, filed 2026-02-17
Period: 4Q24 / period ended 2024-12-31
Model row: Model!147 Common Stock &amp; APIC
Mapping type: grouped
Concepts used: StockholdersEquity = 4171 mm; RetainedEarningsAccumulatedDeficit = 3008 mm; TreasuryStockCommonValue = 3538 mm; AccumulatedOtherComprehensiveIncomeLossNetOfTax = -180 mm
Unit conversion: raw USD to $mm
Sign: copied using model sign convention
Confidence: high
Value written: 4881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P147" authorId="0">
      <text>
        <r>
          <rPr>
            <b/>
          </rPr>
          <t xml:space="preserve">EDGAR Mapper:
</t>
        </r>
        <r>
          <t xml:space="preserve">EDGAR mapping:
Source: 10-Q, accession #0000070318-25-000017, filed 2025-04-29
Period: 1Q25 / period ended 2025-03-31
Model row: Model!147 Common Stock &amp; APIC
Mapping type: grouped
Concepts used: StockholdersEquity = 4181 mm; RetainedEarningsAccumulatedDeficit = 3414 mm; TreasuryStockCommonValue = 3889 mm; AccumulatedOtherComprehensiveIncomeLossNetOfTax = -178 mm
Unit conversion: raw USD to $mm
Sign: copied using model sign convention
Confidence: high
Value written: 4834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Q147" authorId="0">
      <text>
        <r>
          <rPr>
            <b/>
          </rPr>
          <t xml:space="preserve">EDGAR Mapper:
</t>
        </r>
        <r>
          <t xml:space="preserve">EDGAR mapping:
Source: 10-Q, accession #0000070318-25-000039, filed 2025-07-30
Period: 2Q25 / period ended 2025-06-30
Model row: Model!147 Common Stock &amp; APIC
Mapping type: grouped
Concepts used: StockholdersEquity = 3749 mm; RetainedEarningsAccumulatedDeficit = 3702 mm; TreasuryStockCommonValue = 4642 mm; AccumulatedOtherComprehensiveIncomeLossNetOfTax = -177 mm
Unit conversion: raw USD to $mm
Sign: copied using model sign convention
Confidence: high
Value written: 4866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R147" authorId="0">
      <text>
        <r>
          <rPr>
            <b/>
          </rPr>
          <t xml:space="preserve">EDGAR Mapper:
</t>
        </r>
        <r>
          <t xml:space="preserve">EDGAR mapping:
Source: 10-Q, accession #0000070318-25-000046, filed 2025-10-28
Period: 3Q25 / period ended 2025-09-30
Model row: Model!147 Common Stock &amp; APIC
Mapping type: grouped
Concepts used: StockholdersEquity = 4014 mm; RetainedEarningsAccumulatedDeficit = 4044 mm; TreasuryStockCommonValue = 4736 mm; AccumulatedOtherComprehensiveIncomeLossNetOfTax = -174 mm
Unit conversion: raw USD to $mm
Sign: copied using model sign convention
Confidence: high
Value written: 4880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S147" authorId="0">
      <text>
        <r>
          <rPr>
            <b/>
          </rPr>
          <t xml:space="preserve">EDGAR Mapper:
</t>
        </r>
        <r>
          <t xml:space="preserve">EDGAR mapping:
Source: 10-K, accession #0000070318-26-000012, filed 2026-02-17
Period: 4Q25 / period ended 2025-12-31
Model row: Model!147 Common Stock &amp; APIC
Mapping type: grouped
Concepts used: StockholdersEquity = 4220 mm; RetainedEarningsAccumulatedDeficit = 4415 mm; TreasuryStockCommonValue = 4936 mm; AccumulatedOtherComprehensiveIncomeLossNetOfTax = -181 mm
Unit conversion: raw USD to $mm
Sign: copied using model sign convention
Confidence: high
Value written: 4922
Notes: Grouped from EDGAR: Stockholders Equity, Retained Earnings Accumulated Deficit, Treasury Stock Common Value, Accumulated Other Comprehensive income loss net of Tax. Included stockholders' equity less retained earnings, treasury stock, and AOCI.</t>
        </r>
      </text>
    </comment>
    <comment ref="U147" authorId="0">
      <text>
        <r>
          <rPr>
            <b/>
          </rPr>
          <t xml:space="preserve">EDGAR Mapper:
</t>
        </r>
        <r>
          <t xml:space="preserve">EDGAR mapping:
Source: 10-Q, accession #0000070318-26-000026, filed 2026-04-30
Period: 1Q26 / period ended 2026-03-31
Model row: Model!147 Common Stock &amp; APIC
Mapping type: grouped
Concepts used: StockholdersEquity = 4814 mm; RetainedEarningsAccumulatedDeficit = 5117 mm; TreasuryStockCommonValue = 5256 mm; AccumulatedOtherComprehensiveIncomeLossNetOfTax = -179 mm
Unit conversion: raw USD to $mm
Sign: copied using model sign convention
Confidence: high
Value written: 5132
Notes: Grouped from EDGAR: Stockholders' Equity Attributable to Parent, Retained Earnings (Accumulated Deficit), Treasury Stock, Common, Value, Accumulated Other Comprehensive Income (Loss), Net of Tax. Included stockholders' equity less retained earnings, treasury stock, and AOCI.</t>
        </r>
      </text>
    </comment>
    <comment ref="C148" authorId="0">
      <text>
        <r>
          <rPr>
            <b/>
          </rPr>
          <t xml:space="preserve">EDGAR Mapper:
</t>
        </r>
        <r>
          <t>Needs review: one or more historical periods were left unchanged because no matching EDGAR fact was found.</t>
        </r>
      </text>
    </comment>
    <comment ref="F148" authorId="0">
      <text>
        <r>
          <rPr>
            <b/>
          </rPr>
          <t xml:space="preserve">EDGAR Mapper:
</t>
        </r>
        <r>
          <t xml:space="preserve">EDGAR mapping:
Source: 10-Q, accession #0000070318-23-000019, filed 2023-04-28
Period: 1Q23 / period ended 2023-03-31
Model row: Model!148 Retained Earnings
Mapping type: direct
Concepts used: RetainedEarningsAccumulatedDeficit = -660 mm
Unit conversion: raw USD to $mm
Sign: copied using model sign convention
Confidence: high
Value written: -660</t>
        </r>
      </text>
    </comment>
    <comment ref="G148" authorId="0">
      <text>
        <r>
          <rPr>
            <b/>
          </rPr>
          <t xml:space="preserve">EDGAR Mapper:
</t>
        </r>
        <r>
          <t xml:space="preserve">EDGAR mapping:
Source: 10-Q, accession #0000070318-23-000041, filed 2023-07-31
Period: 2Q23 / period ended 2023-06-30
Model row: Model!148 Retained Earnings
Mapping type: direct
Concepts used: RetainedEarningsAccumulatedDeficit = -537 mm
Unit conversion: raw USD to $mm
Sign: copied using model sign convention
Confidence: high
Value written: -537</t>
        </r>
      </text>
    </comment>
    <comment ref="H148" authorId="0">
      <text>
        <r>
          <rPr>
            <b/>
          </rPr>
          <t xml:space="preserve">EDGAR Mapper:
</t>
        </r>
        <r>
          <t xml:space="preserve">EDGAR mapping:
Source: 10-Q, accession #0000070318-23-000055, filed 2023-10-30
Period: 3Q23 / period ended 2023-09-30
Model row: Model!148 Retained Earnings
Mapping type: direct
Concepts used: RetainedEarningsAccumulatedDeficit = -436 mm
Unit conversion: raw USD to $mm
Sign: copied using model sign convention
Confidence: high
Value written: -436</t>
        </r>
      </text>
    </comment>
    <comment ref="I148" authorId="0">
      <text>
        <r>
          <rPr>
            <b/>
          </rPr>
          <t xml:space="preserve">EDGAR Mapper:
</t>
        </r>
        <r>
          <t xml:space="preserve">EDGAR mapping:
Source: 10-K, accession #0000070318-25-000009, filed 2025-02-18
Period: 4Q23 / period ended 2023-12-31
Model row: Model!148 Retained Earnings
Mapping type: direct
Concepts used: RetainedEarningsAccumulatedDeficit = -192 mm
Unit conversion: raw USD to $mm
Sign: copied using model sign convention
Confidence: high
Value written: -192</t>
        </r>
      </text>
    </comment>
    <comment ref="K148" authorId="0">
      <text>
        <r>
          <rPr>
            <b/>
          </rPr>
          <t xml:space="preserve">EDGAR Mapper:
</t>
        </r>
        <r>
          <t xml:space="preserve">EDGAR mapping:
Source: 10-Q, accession #0000070318-24-000032, filed 2024-04-30
Period: 1Q24 / period ended 2024-03-31
Model row: Model!148 Retained Earnings
Mapping type: direct
Concepts used: RetainedEarningsAccumulatedDeficit = 1959 mm
Unit conversion: raw USD to $mm
Sign: copied using model sign convention
Confidence: high
Value written: 1959</t>
        </r>
      </text>
    </comment>
    <comment ref="L148" authorId="0">
      <text>
        <r>
          <rPr>
            <b/>
          </rPr>
          <t xml:space="preserve">EDGAR Mapper:
</t>
        </r>
        <r>
          <t xml:space="preserve">EDGAR mapping:
Source: 10-Q, accession #0000070318-24-000041, filed 2024-07-30
Period: 2Q24 / period ended 2024-06-30
Model row: Model!148 Retained Earnings
Mapping type: direct
Concepts used: RetainedEarningsAccumulatedDeficit = 2218 mm
Unit conversion: raw USD to $mm
Sign: copied using model sign convention
Confidence: high
Value written: 2218</t>
        </r>
      </text>
    </comment>
    <comment ref="M148" authorId="0">
      <text>
        <r>
          <rPr>
            <b/>
          </rPr>
          <t xml:space="preserve">EDGAR Mapper:
</t>
        </r>
        <r>
          <t xml:space="preserve">EDGAR mapping:
Source: 10-Q, accession #0000070318-24-000052, filed 2024-10-29
Period: 3Q24 / period ended 2024-09-30
Model row: Model!148 Retained Earnings
Mapping type: direct
Concepts used: RetainedEarningsAccumulatedDeficit = 2690 mm
Unit conversion: raw USD to $mm
Sign: copied using model sign convention
Confidence: high
Value written: 2690</t>
        </r>
      </text>
    </comment>
    <comment ref="N148" authorId="0">
      <text>
        <r>
          <rPr>
            <b/>
          </rPr>
          <t xml:space="preserve">EDGAR Mapper:
</t>
        </r>
        <r>
          <t xml:space="preserve">EDGAR mapping:
Source: 10-K, accession #0000070318-26-000012, filed 2026-02-17
Period: 4Q24 / period ended 2024-12-31
Model row: Model!148 Retained Earnings
Mapping type: direct
Concepts used: RetainedEarningsAccumulatedDeficit = 3008 mm
Unit conversion: raw USD to $mm
Sign: copied using model sign convention
Confidence: high
Value written: 3008</t>
        </r>
      </text>
    </comment>
    <comment ref="P148" authorId="0">
      <text>
        <r>
          <rPr>
            <b/>
          </rPr>
          <t xml:space="preserve">EDGAR Mapper:
</t>
        </r>
        <r>
          <t xml:space="preserve">EDGAR mapping:
Source: 10-Q, accession #0000070318-25-000017, filed 2025-04-29
Period: 1Q25 / period ended 2025-03-31
Model row: Model!148 Retained Earnings
Mapping type: direct
Concepts used: RetainedEarningsAccumulatedDeficit = 3414 mm
Unit conversion: raw USD to $mm
Sign: copied using model sign convention
Confidence: high
Value written: 3414</t>
        </r>
      </text>
    </comment>
    <comment ref="Q148" authorId="0">
      <text>
        <r>
          <rPr>
            <b/>
          </rPr>
          <t xml:space="preserve">EDGAR Mapper:
</t>
        </r>
        <r>
          <t xml:space="preserve">EDGAR mapping:
Source: 10-Q, accession #0000070318-25-000039, filed 2025-07-30
Period: 2Q25 / period ended 2025-06-30
Model row: Model!148 Retained Earnings
Mapping type: direct
Concepts used: RetainedEarningsAccumulatedDeficit = 3702 mm
Unit conversion: raw USD to $mm
Sign: copied using model sign convention
Confidence: high
Value written: 3702</t>
        </r>
      </text>
    </comment>
    <comment ref="R148" authorId="0">
      <text>
        <r>
          <rPr>
            <b/>
          </rPr>
          <t xml:space="preserve">EDGAR Mapper:
</t>
        </r>
        <r>
          <t xml:space="preserve">EDGAR mapping:
Source: 10-Q, accession #0000070318-25-000046, filed 2025-10-28
Period: 3Q25 / period ended 2025-09-30
Model row: Model!148 Retained Earnings
Mapping type: direct
Concepts used: RetainedEarningsAccumulatedDeficit = 4044 mm
Unit conversion: raw USD to $mm
Sign: copied using model sign convention
Confidence: high
Value written: 4044</t>
        </r>
      </text>
    </comment>
    <comment ref="S148" authorId="0">
      <text>
        <r>
          <rPr>
            <b/>
          </rPr>
          <t xml:space="preserve">EDGAR Mapper:
</t>
        </r>
        <r>
          <t xml:space="preserve">EDGAR mapping:
Source: 10-K, accession #0000070318-26-000012, filed 2026-02-17
Period: 4Q25 / period ended 2025-12-31
Model row: Model!148 Retained Earnings
Mapping type: direct
Concepts used: RetainedEarningsAccumulatedDeficit = 4415 mm
Unit conversion: raw USD to $mm
Sign: copied using model sign convention
Confidence: high
Value written: 4415</t>
        </r>
      </text>
    </comment>
    <comment ref="U148" authorId="0">
      <text>
        <r>
          <rPr>
            <b/>
          </rPr>
          <t xml:space="preserve">EDGAR Mapper:
</t>
        </r>
        <r>
          <t xml:space="preserve">EDGAR mapping:
Source: 10-Q, accession #0000070318-26-000026, filed 2026-04-30
Period: 1Q26 / period ended 2026-03-31
Model row: Model!148 Retained Earnings
Mapping type: direct
Concepts used: RetainedEarningsAccumulatedDeficit = 5117 mm
Unit conversion: raw USD to $mm
Sign: copied using model sign convention
Confidence: high
Value written: 5117</t>
        </r>
      </text>
    </comment>
    <comment ref="C149" authorId="0">
      <text>
        <r>
          <rPr>
            <b/>
          </rPr>
          <t xml:space="preserve">EDGAR Mapper:
</t>
        </r>
        <r>
          <t>Grouped from EDGAR: Treasury Stock, Common, Value. Grouped from EDGAR: Treasury Stock Common Value.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F149" authorId="0">
      <text>
        <r>
          <rPr>
            <b/>
          </rPr>
          <t xml:space="preserve">EDGAR Mapper:
</t>
        </r>
        <r>
          <t xml:space="preserve">EDGAR mapping:
Source: 10-Q, accession #0000070318-23-000019, filed 2023-04-28
Period: 1Q23 / period ended 2023-03-31
Model row: Model!149 Treasury Stock
Mapping type: grouped
Concepts used: TreasuryStockCommonValue = 2710 mm
Unit conversion: raw USD to $mm
Sign: copied using model sign convention
Confidence: high
Value written: -2710
Notes: Grouped from EDGAR: Treasury Stock, Common, Value.</t>
        </r>
      </text>
    </comment>
    <comment ref="G149" authorId="0">
      <text>
        <r>
          <rPr>
            <b/>
          </rPr>
          <t xml:space="preserve">EDGAR Mapper:
</t>
        </r>
        <r>
          <t xml:space="preserve">EDGAR mapping:
Source: 10-Q, accession #0000070318-23-000041, filed 2023-07-31
Period: 2Q23 / period ended 2023-06-30
Model row: Model!149 Treasury Stock
Mapping type: grouped
Concepts used: TreasuryStockCommonValue = 2750 mm
Unit conversion: raw USD to $mm
Sign: copied using model sign convention
Confidence: high
Value written: -2750
Notes: Grouped from EDGAR: Treasury Stock, Common, Value.</t>
        </r>
      </text>
    </comment>
    <comment ref="H149" authorId="0">
      <text>
        <r>
          <rPr>
            <b/>
          </rPr>
          <t xml:space="preserve">EDGAR Mapper:
</t>
        </r>
        <r>
          <t xml:space="preserve">EDGAR mapping:
Source: 10-Q, accession #0000070318-23-000055, filed 2023-10-30
Period: 3Q23 / period ended 2023-09-30
Model row: Model!149 Treasury Stock
Mapping type: grouped
Concepts used: TreasuryStockCommonValue = 2750 mm
Unit conversion: raw USD to $mm
Sign: copied using model sign convention
Confidence: high
Value written: -2750
Notes: Grouped from EDGAR: Treasury Stock, Common, Value.</t>
        </r>
      </text>
    </comment>
    <comment ref="I149" authorId="0">
      <text>
        <r>
          <rPr>
            <b/>
          </rPr>
          <t xml:space="preserve">EDGAR Mapper:
</t>
        </r>
        <r>
          <t xml:space="preserve">EDGAR mapping:
Source: 10-K, accession #0000070318-25-000009, filed 2025-02-18
Period: 4Q23 / period ended 2023-12-31
Model row: Model!149 Treasury Stock
Mapping type: grouped
Concepts used: TreasuryStockCommonValue = 2861 mm
Unit conversion: raw USD to $mm
Sign: copied using model sign convention
Confidence: high
Value written: -2861
Notes: Grouped from EDGAR: Treasury Stock, Common, Value.</t>
        </r>
      </text>
    </comment>
    <comment ref="K149" authorId="0">
      <text>
        <r>
          <rPr>
            <b/>
          </rPr>
          <t xml:space="preserve">EDGAR Mapper:
</t>
        </r>
        <r>
          <t xml:space="preserve">EDGAR mapping:
Source: 10-Q, accession #0000070318-24-000032, filed 2024-04-30
Period: 1Q24 / period ended 2024-03-31
Model row: Model!149 Treasury Stock
Mapping type: grouped
Concepts used: TreasuryStockCommonValue = 3141 mm
Unit conversion: raw USD to $mm
Sign: copied using model sign convention
Confidence: high
Value written: -3141
Notes: Grouped from EDGAR: Treasury Stock, Common, Value.</t>
        </r>
      </text>
    </comment>
    <comment ref="L149" authorId="0">
      <text>
        <r>
          <rPr>
            <b/>
          </rPr>
          <t xml:space="preserve">EDGAR Mapper:
</t>
        </r>
        <r>
          <t xml:space="preserve">EDGAR mapping:
Source: 10-Q, accession #0000070318-24-000041, filed 2024-07-30
Period: 2Q24 / period ended 2024-06-30
Model row: Model!149 Treasury Stock
Mapping type: grouped
Concepts used: TreasuryStockCommonValue = 3414 mm
Unit conversion: raw USD to $mm
Sign: copied using model sign convention
Confidence: high
Value written: -3414
Notes: Grouped from EDGAR: Treasury Stock, Common, Value.</t>
        </r>
      </text>
    </comment>
    <comment ref="M149" authorId="0">
      <text>
        <r>
          <rPr>
            <b/>
          </rPr>
          <t xml:space="preserve">EDGAR Mapper:
</t>
        </r>
        <r>
          <t xml:space="preserve">EDGAR mapping:
Source: 10-Q, accession #0000070318-24-000052, filed 2024-10-29
Period: 3Q24 / period ended 2024-09-30
Model row: Model!149 Treasury Stock
Mapping type: grouped
Concepts used: TreasuryStockCommonValue = 3538 mm
Unit conversion: raw USD to $mm
Sign: copied using model sign convention
Confidence: high
Value written: -3538
Notes: Grouped from EDGAR: Treasury Stock, Common, Value.</t>
        </r>
      </text>
    </comment>
    <comment ref="N149" authorId="0">
      <text>
        <r>
          <rPr>
            <b/>
          </rPr>
          <t xml:space="preserve">EDGAR Mapper:
</t>
        </r>
        <r>
          <t xml:space="preserve">EDGAR mapping:
Source: 10-K, accession #0000070318-26-000012, filed 2026-02-17
Period: 4Q24 / period ended 2024-12-31
Model row: Model!149 Treasury Stock
Mapping type: grouped
Concepts used: TreasuryStockCommonValue = 3538 mm
Unit conversion: raw USD to $mm
Sign: copied using model sign convention
Confidence: high
Value written: -3538
Notes: Grouped from EDGAR: Treasury Stock, Common, Value.</t>
        </r>
      </text>
    </comment>
    <comment ref="P149" authorId="0">
      <text>
        <r>
          <rPr>
            <b/>
          </rPr>
          <t xml:space="preserve">EDGAR Mapper:
</t>
        </r>
        <r>
          <t xml:space="preserve">EDGAR mapping:
Source: 10-Q, accession #0000070318-25-000017, filed 2025-04-29
Period: 1Q25 / period ended 2025-03-31
Model row: Model!149 Treasury Stock
Mapping type: grouped
Concepts used: TreasuryStockCommonValue = 3889 mm
Unit conversion: raw USD to $mm
Sign: copied using model sign convention
Confidence: high
Value written: -3889
Notes: Grouped from EDGAR: Treasury Stock, Common, Value.</t>
        </r>
      </text>
    </comment>
    <comment ref="Q149" authorId="0">
      <text>
        <r>
          <rPr>
            <b/>
          </rPr>
          <t xml:space="preserve">EDGAR Mapper:
</t>
        </r>
        <r>
          <t xml:space="preserve">EDGAR mapping:
Source: 10-Q, accession #0000070318-25-000039, filed 2025-07-30
Period: 2Q25 / period ended 2025-06-30
Model row: Model!149 Treasury Stock
Mapping type: grouped
Concepts used: TreasuryStockCommonValue = 4642 mm
Unit conversion: raw USD to $mm
Sign: copied using model sign convention
Confidence: high
Value written: -4642
Notes: Grouped from EDGAR: Treasury Stock, Common, Value.</t>
        </r>
      </text>
    </comment>
    <comment ref="R149" authorId="0">
      <text>
        <r>
          <rPr>
            <b/>
          </rPr>
          <t xml:space="preserve">EDGAR Mapper:
</t>
        </r>
        <r>
          <t xml:space="preserve">EDGAR mapping:
Source: 10-Q, accession #0000070318-25-000046, filed 2025-10-28
Period: 3Q25 / period ended 2025-09-30
Model row: Model!149 Treasury Stock
Mapping type: grouped
Concepts used: TreasuryStockCommonValue = 4736 mm
Unit conversion: raw USD to $mm
Sign: copied using model sign convention
Confidence: high
Value written: -4736
Notes: Grouped from EDGAR: Treasury Stock, Common, Value.</t>
        </r>
      </text>
    </comment>
    <comment ref="S149" authorId="0">
      <text>
        <r>
          <rPr>
            <b/>
          </rPr>
          <t xml:space="preserve">EDGAR Mapper:
</t>
        </r>
        <r>
          <t xml:space="preserve">EDGAR mapping:
Source: 10-K, accession #0000070318-26-000012, filed 2026-02-17
Period: 4Q25 / period ended 2025-12-31
Model row: Model!149 Treasury Stock
Mapping type: grouped
Concepts used: TreasuryStockCommonValue = 4936 mm
Unit conversion: raw USD to $mm
Sign: copied using model sign convention
Confidence: high
Value written: -4936
Notes: Grouped from EDGAR: Treasury Stock Common Value.</t>
        </r>
      </text>
    </comment>
    <comment ref="U149" authorId="0">
      <text>
        <r>
          <rPr>
            <b/>
          </rPr>
          <t xml:space="preserve">EDGAR Mapper:
</t>
        </r>
        <r>
          <t xml:space="preserve">EDGAR mapping:
Source: 10-Q, accession #0000070318-26-000026, filed 2026-04-30
Period: 1Q26 / period ended 2026-03-31
Model row: Model!149 Treasury Stock
Mapping type: grouped
Concepts used: TreasuryStockCommonValue = 5256 mm
Unit conversion: raw USD to $mm
Sign: copied using model sign convention
Confidence: high
Value written: -5256
Notes: Grouped from EDGAR: Treasury Stock, Common, Value.</t>
        </r>
      </text>
    </comment>
    <comment ref="V149" authorId="0">
      <text>
        <r>
          <rPr>
            <b/>
          </rPr>
          <t xml:space="preserve">EDGAR Mapper:
</t>
        </r>
        <r>
          <t xml:space="preserve">EDGAR mapping:
Source: 10-Q, accession #0000070318-26-000026, filed 2026-04-30
Period: 2Q26 / period ended 2026-03-31
Model row: Model!149 Treasury Stock
Mapping type: grouped
Concepts used: TreasuryStockCommonValue = 5256 mm
Unit conversion: raw USD to $mm
Sign: copied using model sign convention
Confidence: high
Value written: -5256
Notes: Grouped from EDGAR: Treasury Stock, Common, Value carried forward from 1Q26 because the instant balance was not separately reported for 2Q26.. Treasury Stock, Common, Value carried forward from 1Q26 because the instant balance was not separately reported for 2Q26.</t>
        </r>
      </text>
    </comment>
    <comment ref="C150" authorId="0">
      <text>
        <r>
          <rPr>
            <b/>
          </rPr>
          <t xml:space="preserve">EDGAR Mapper:
</t>
        </r>
        <r>
          <t xml:space="preserve">======
ID#AAABbnJBVyk
Luke Brennan    (2025-01-14 21:09:38)
Includes FX translation adjustment, unrealized gain (loss) on derivative financial instruments, unrealized gain (loss) on available-for-sale securities, unrealized costs associated with certain retirement plan
EDGAR Mapper:
Needs review: one or more historical periods were left unchanged because no matching EDGAR fact was found.</t>
        </r>
      </text>
    </comment>
    <comment ref="F150" authorId="0">
      <text>
        <r>
          <rPr>
            <b/>
          </rPr>
          <t xml:space="preserve">EDGAR Mapper:
</t>
        </r>
        <r>
          <t xml:space="preserve">EDGAR mapping:
Source: 10-Q, accession #0000070318-23-000019, filed 2023-04-28
Period: 1Q23 / period ended 2023-03-31
Model row: Model!150 Accumulated Other Comprehensive Income (AOCI)
Mapping type: direct
Concepts used: AccumulatedOtherComprehensiveIncomeLossNetOfTax = -179 mm
Unit conversion: raw USD to $mm
Sign: copied using model sign convention
Confidence: high
Value written: -179</t>
        </r>
      </text>
    </comment>
    <comment ref="G150" authorId="0">
      <text>
        <r>
          <rPr>
            <b/>
          </rPr>
          <t xml:space="preserve">EDGAR Mapper:
</t>
        </r>
        <r>
          <t xml:space="preserve">EDGAR mapping:
Source: 10-Q, accession #0000070318-23-000041, filed 2023-07-31
Period: 2Q23 / period ended 2023-06-30
Model row: Model!150 Accumulated Other Comprehensive Income (AOCI)
Mapping type: direct
Concepts used: AccumulatedOtherComprehensiveIncomeLossNetOfTax = -178 mm
Unit conversion: raw USD to $mm
Sign: copied using model sign convention
Confidence: high
Value written: -178</t>
        </r>
      </text>
    </comment>
    <comment ref="H150" authorId="0">
      <text>
        <r>
          <rPr>
            <b/>
          </rPr>
          <t xml:space="preserve">EDGAR Mapper:
</t>
        </r>
        <r>
          <t xml:space="preserve">EDGAR mapping:
Source: 10-Q, accession #0000070318-23-000055, filed 2023-10-30
Period: 3Q23 / period ended 2023-09-30
Model row: Model!150 Accumulated Other Comprehensive Income (AOCI)
Mapping type: direct
Concepts used: AccumulatedOtherComprehensiveIncomeLossNetOfTax = -176 mm
Unit conversion: raw USD to $mm
Sign: copied using model sign convention
Confidence: high
Value written: -176</t>
        </r>
      </text>
    </comment>
    <comment ref="I150" authorId="0">
      <text>
        <r>
          <rPr>
            <b/>
          </rPr>
          <t xml:space="preserve">EDGAR Mapper:
</t>
        </r>
        <r>
          <t xml:space="preserve">EDGAR mapping:
Source: 10-K, accession #0000070318-25-000009, filed 2025-02-18
Period: 4Q23 / period ended 2023-12-31
Model row: Model!150 Accumulated Other Comprehensive Income (AOCI)
Mapping type: direct
Concepts used: AccumulatedOtherComprehensiveIncomeLossNetOfTax = -181 mm
Unit conversion: raw USD to $mm
Sign: copied using model sign convention
Confidence: high
Value written: -181</t>
        </r>
      </text>
    </comment>
    <comment ref="K150" authorId="0">
      <text>
        <r>
          <rPr>
            <b/>
          </rPr>
          <t xml:space="preserve">EDGAR Mapper:
</t>
        </r>
        <r>
          <t xml:space="preserve">EDGAR mapping:
Source: 10-Q, accession #0000070318-24-000032, filed 2024-04-30
Period: 1Q24 / period ended 2024-03-31
Model row: Model!150 Accumulated Other Comprehensive Income (AOCI)
Mapping type: direct
Concepts used: AccumulatedOtherComprehensiveIncomeLossNetOfTax = -179 mm
Unit conversion: raw USD to $mm
Sign: copied using model sign convention
Confidence: high
Value written: -179</t>
        </r>
      </text>
    </comment>
    <comment ref="L150" authorId="0">
      <text>
        <r>
          <rPr>
            <b/>
          </rPr>
          <t xml:space="preserve">EDGAR Mapper:
</t>
        </r>
        <r>
          <t xml:space="preserve">EDGAR mapping:
Source: 10-Q, accession #0000070318-24-000041, filed 2024-07-30
Period: 2Q24 / period ended 2024-06-30
Model row: Model!150 Accumulated Other Comprehensive Income (AOCI)
Mapping type: direct
Concepts used: AccumulatedOtherComprehensiveIncomeLossNetOfTax = -177 mm
Unit conversion: raw USD to $mm
Sign: copied using model sign convention
Confidence: high
Value written: -177</t>
        </r>
      </text>
    </comment>
    <comment ref="M150" authorId="0">
      <text>
        <r>
          <rPr>
            <b/>
          </rPr>
          <t xml:space="preserve">EDGAR Mapper:
</t>
        </r>
        <r>
          <t xml:space="preserve">EDGAR mapping:
Source: 10-Q, accession #0000070318-24-000052, filed 2024-10-29
Period: 3Q24 / period ended 2024-09-30
Model row: Model!150 Accumulated Other Comprehensive Income (AOCI)
Mapping type: direct
Concepts used: AccumulatedOtherComprehensiveIncomeLossNetOfTax = -175 mm
Unit conversion: raw USD to $mm
Sign: copied using model sign convention
Confidence: high
Value written: -175</t>
        </r>
      </text>
    </comment>
    <comment ref="N150" authorId="0">
      <text>
        <r>
          <rPr>
            <b/>
          </rPr>
          <t xml:space="preserve">EDGAR Mapper:
</t>
        </r>
        <r>
          <t xml:space="preserve">EDGAR mapping:
Source: 10-K, accession #0000070318-26-000012, filed 2026-02-17
Period: 4Q24 / period ended 2024-12-31
Model row: Model!150 Accumulated Other Comprehensive Income (AOCI)
Mapping type: direct
Concepts used: AccumulatedOtherComprehensiveIncomeLossNetOfTax = -180 mm
Unit conversion: raw USD to $mm
Sign: copied using model sign convention
Confidence: high
Value written: -180</t>
        </r>
      </text>
    </comment>
    <comment ref="P150" authorId="0">
      <text>
        <r>
          <rPr>
            <b/>
          </rPr>
          <t xml:space="preserve">EDGAR Mapper:
</t>
        </r>
        <r>
          <t xml:space="preserve">EDGAR mapping:
Source: 10-Q, accession #0000070318-25-000017, filed 2025-04-29
Period: 1Q25 / period ended 2025-03-31
Model row: Model!150 Accumulated Other Comprehensive Income (AOCI)
Mapping type: direct
Concepts used: AccumulatedOtherComprehensiveIncomeLossNetOfTax = -178 mm
Unit conversion: raw USD to $mm
Sign: copied using model sign convention
Confidence: high
Value written: -178</t>
        </r>
      </text>
    </comment>
    <comment ref="Q150" authorId="0">
      <text>
        <r>
          <rPr>
            <b/>
          </rPr>
          <t xml:space="preserve">EDGAR Mapper:
</t>
        </r>
        <r>
          <t xml:space="preserve">EDGAR mapping:
Source: 10-Q, accession #0000070318-25-000039, filed 2025-07-30
Period: 2Q25 / period ended 2025-06-30
Model row: Model!150 Accumulated Other Comprehensive Income (AOCI)
Mapping type: direct
Concepts used: AccumulatedOtherComprehensiveIncomeLossNetOfTax = -177 mm
Unit conversion: raw USD to $mm
Sign: copied using model sign convention
Confidence: high
Value written: -177</t>
        </r>
      </text>
    </comment>
    <comment ref="R150" authorId="0">
      <text>
        <r>
          <rPr>
            <b/>
          </rPr>
          <t xml:space="preserve">EDGAR Mapper:
</t>
        </r>
        <r>
          <t xml:space="preserve">EDGAR mapping:
Source: 10-Q, accession #0000070318-25-000046, filed 2025-10-28
Period: 3Q25 / period ended 2025-09-30
Model row: Model!150 Accumulated Other Comprehensive Income (AOCI)
Mapping type: direct
Concepts used: AccumulatedOtherComprehensiveIncomeLossNetOfTax = -174 mm
Unit conversion: raw USD to $mm
Sign: copied using model sign convention
Confidence: high
Value written: -174</t>
        </r>
      </text>
    </comment>
    <comment ref="S150" authorId="0">
      <text>
        <r>
          <rPr>
            <b/>
          </rPr>
          <t xml:space="preserve">EDGAR Mapper:
</t>
        </r>
        <r>
          <t xml:space="preserve">EDGAR mapping:
Source: 10-K, accession #0000070318-26-000012, filed 2026-02-17
Period: 4Q25 / period ended 2025-12-31
Model row: Model!150 Accumulated Other Comprehensive Income (AOCI)
Mapping type: direct
Concepts used: AccumulatedOtherComprehensiveIncomeLossNetOfTax = -181 mm
Unit conversion: raw USD to $mm
Sign: copied using model sign convention
Confidence: high
Value written: -181</t>
        </r>
      </text>
    </comment>
    <comment ref="U150" authorId="0">
      <text>
        <r>
          <rPr>
            <b/>
          </rPr>
          <t xml:space="preserve">EDGAR Mapper:
</t>
        </r>
        <r>
          <t xml:space="preserve">EDGAR mapping:
Source: 10-Q, accession #0000070318-26-000026, filed 2026-04-30
Period: 1Q26 / period ended 2026-03-31
Model row: Model!150 Accumulated Other Comprehensive Income (AOCI)
Mapping type: direct
Concepts used: AccumulatedOtherComprehensiveIncomeLossNetOfTax = -179 mm
Unit conversion: raw USD to $mm
Sign: copied using model sign convention
Confidence: high
Value written: -179</t>
        </r>
      </text>
    </comment>
    <comment ref="C153" authorId="0">
      <text>
        <r>
          <rPr>
            <b/>
          </rPr>
          <t xml:space="preserve">EDGAR Mapper:
</t>
        </r>
        <r>
          <t>Needs review: one or more historical periods were left unchanged because no matching EDGAR fact was found.</t>
        </r>
      </text>
    </comment>
    <comment ref="F153" authorId="0">
      <text>
        <r>
          <rPr>
            <b/>
          </rPr>
          <t xml:space="preserve">EDGAR Mapper:
</t>
        </r>
        <r>
          <t xml:space="preserve">EDGAR mapping:
Source: 10-Q, accession #0000070318-23-000019, filed 2023-04-28
Period: 1Q23 / period ended 2023-03-31
Model row: Model!153 Noncontrolling Interests
Mapping type: direct
Concepts used: MinorityInterest = 1347 mm
Unit conversion: raw USD to $mm
Sign: copied using model sign convention
Confidence: high
Value written: 1347
EDGAR Mapper:
Calculated as the residual needed for balance-sheet total liabilities plus shareholders' equity to tie to EDGAR.</t>
        </r>
      </text>
    </comment>
    <comment ref="G153" authorId="0">
      <text>
        <r>
          <rPr>
            <b/>
          </rPr>
          <t xml:space="preserve">EDGAR Mapper:
</t>
        </r>
        <r>
          <t xml:space="preserve">EDGAR mapping:
Source: 10-Q, accession #0000070318-23-000041, filed 2023-07-31
Period: 2Q23 / period ended 2023-06-30
Model row: Model!153 Noncontrolling Interests
Mapping type: direct
Concepts used: MinorityInterest = 1381 mm
Unit conversion: raw USD to $mm
Sign: copied using model sign convention
Confidence: high
Value written: 1381
EDGAR Mapper:
Calculated as the residual needed for balance-sheet total liabilities plus shareholders' equity to tie to EDGAR.</t>
        </r>
      </text>
    </comment>
    <comment ref="H153" authorId="0">
      <text>
        <r>
          <rPr>
            <b/>
          </rPr>
          <t xml:space="preserve">EDGAR Mapper:
</t>
        </r>
        <r>
          <t xml:space="preserve">EDGAR mapping:
Source: 10-Q, accession #0000070318-23-000055, filed 2023-10-30
Period: 3Q23 / period ended 2023-09-30
Model row: Model!153 Noncontrolling Interests
Mapping type: direct
Concepts used: MinorityInterest = 1414 mm
Unit conversion: raw USD to $mm
Sign: copied using model sign convention
Confidence: high
Value written: 1414
EDGAR Mapper:
Calculated as the residual needed for balance-sheet total liabilities plus shareholders' equity to tie to EDGAR.</t>
        </r>
      </text>
    </comment>
    <comment ref="I153" authorId="0">
      <text>
        <r>
          <rPr>
            <b/>
          </rPr>
          <t xml:space="preserve">EDGAR Mapper:
</t>
        </r>
        <r>
          <t xml:space="preserve">EDGAR mapping:
Source: 10-K, accession #0000070318-25-000009, filed 2025-02-18
Period: 4Q23 / period ended 2023-12-31
Model row: Model!153 Noncontrolling Interests
Mapping type: direct
Concepts used: MinorityInterest = 1509 mm
Unit conversion: raw USD to $mm
Sign: copied using model sign convention
Confidence: high
Value written: 1509
EDGAR Mapper:
Calculated as the residual needed for balance-sheet total liabilities plus shareholders' equity to tie to EDGAR.</t>
        </r>
      </text>
    </comment>
    <comment ref="K153" authorId="0">
      <text>
        <r>
          <rPr>
            <b/>
          </rPr>
          <t xml:space="preserve">EDGAR Mapper:
</t>
        </r>
        <r>
          <t xml:space="preserve">EDGAR mapping:
Source: 10-Q, accession #0000070318-24-000032, filed 2024-04-30
Period: 1Q24 / period ended 2024-03-31
Model row: Model!153 Noncontrolling Interests
Mapping type: direct
Concepts used: MinorityInterest = 1490 mm
Unit conversion: raw USD to $mm
Sign: copied using model sign convention
Confidence: high
Value written: 1490
EDGAR Mapper:
Calculated as the residual needed for balance-sheet total liabilities plus shareholders' equity to tie to EDGAR.</t>
        </r>
      </text>
    </comment>
    <comment ref="L153" authorId="0">
      <text>
        <r>
          <rPr>
            <b/>
          </rPr>
          <t xml:space="preserve">EDGAR Mapper:
</t>
        </r>
        <r>
          <t xml:space="preserve">EDGAR mapping:
Source: 10-Q, accession #0000070318-24-000041, filed 2024-07-30
Period: 2Q24 / period ended 2024-06-30
Model row: Model!153 Noncontrolling Interests
Mapping type: direct
Concepts used: MinorityInterest = 1581 mm
Unit conversion: raw USD to $mm
Sign: copied using model sign convention
Confidence: high
Value written: 1581
EDGAR Mapper:
Calculated as the residual needed for balance-sheet total liabilities plus shareholders' equity to tie to EDGAR.</t>
        </r>
      </text>
    </comment>
    <comment ref="M153" authorId="0">
      <text>
        <r>
          <rPr>
            <b/>
          </rPr>
          <t xml:space="preserve">EDGAR Mapper:
</t>
        </r>
        <r>
          <t xml:space="preserve">EDGAR mapping:
Source: 10-Q, accession #0000070318-24-000052, filed 2024-10-29
Period: 3Q24 / period ended 2024-09-30
Model row: Model!153 Noncontrolling Interests
Mapping type: direct
Concepts used: MinorityInterest = 1592 mm
Unit conversion: raw USD to $mm
Sign: copied using model sign convention
Confidence: high
Value written: 1592
EDGAR Mapper:
Calculated as the residual needed for balance-sheet total liabilities plus shareholders' equity to tie to EDGAR.</t>
        </r>
      </text>
    </comment>
    <comment ref="N153" authorId="0">
      <text>
        <r>
          <rPr>
            <b/>
          </rPr>
          <t xml:space="preserve">EDGAR Mapper:
</t>
        </r>
        <r>
          <t xml:space="preserve">EDGAR mapping:
Source: 10-K, accession #0000070318-26-000012, filed 2026-02-17
Period: 4Q24 / period ended 2024-12-31
Model row: Model!153 Noncontrolling Interests
Mapping type: direct
Concepts used: MinorityInterest = 1649 mm
Unit conversion: raw USD to $mm
Sign: copied using model sign convention
Confidence: high
Value written: 1649
EDGAR Mapper:
Calculated as the residual needed for balance-sheet total liabilities plus shareholders' equity to tie to EDGAR.</t>
        </r>
      </text>
    </comment>
    <comment ref="P153" authorId="0">
      <text>
        <r>
          <rPr>
            <b/>
          </rPr>
          <t xml:space="preserve">EDGAR Mapper:
</t>
        </r>
        <r>
          <t xml:space="preserve">EDGAR mapping:
Source: 10-Q, accession #0000070318-25-000017, filed 2025-04-29
Period: 1Q25 / period ended 2025-03-31
Model row: Model!153 Noncontrolling Interests
Mapping type: direct
Concepts used: MinorityInterest = 1696 mm
Unit conversion: raw USD to $mm
Sign: copied using model sign convention
Confidence: high
Value written: 1696
EDGAR Mapper:
Calculated as the residual needed for balance-sheet total liabilities plus shareholders' equity to tie to EDGAR.</t>
        </r>
      </text>
    </comment>
    <comment ref="Q153" authorId="0">
      <text>
        <r>
          <rPr>
            <b/>
          </rPr>
          <t xml:space="preserve">EDGAR Mapper:
</t>
        </r>
        <r>
          <t xml:space="preserve">EDGAR mapping:
Source: 10-Q, accession #0000070318-25-000039, filed 2025-07-30
Period: 2Q25 / period ended 2025-06-30
Model row: Model!153 Noncontrolling Interests
Mapping type: direct
Concepts used: MinorityInterest = 1727 mm
Unit conversion: raw USD to $mm
Sign: copied using model sign convention
Confidence: high
Value written: 1727
EDGAR Mapper:
Calculated as the residual needed for balance-sheet total liabilities plus shareholders' equity to tie to EDGAR.</t>
        </r>
      </text>
    </comment>
    <comment ref="R153" authorId="0">
      <text>
        <r>
          <rPr>
            <b/>
          </rPr>
          <t xml:space="preserve">EDGAR Mapper:
</t>
        </r>
        <r>
          <t xml:space="preserve">EDGAR mapping:
Source: 10-Q, accession #0000070318-25-000046, filed 2025-10-28
Period: 3Q25 / period ended 2025-09-30
Model row: Model!153 Noncontrolling Interests
Mapping type: direct
Concepts used: MinorityInterest = 1769 mm
Unit conversion: raw USD to $mm
Sign: copied using model sign convention
Confidence: high
Value written: 1769
EDGAR Mapper:
Calculated as the residual needed for balance-sheet total liabilities plus shareholders' equity to tie to EDGAR.</t>
        </r>
      </text>
    </comment>
    <comment ref="S153" authorId="0">
      <text>
        <r>
          <rPr>
            <b/>
          </rPr>
          <t xml:space="preserve">EDGAR Mapper:
</t>
        </r>
        <r>
          <t xml:space="preserve">EDGAR mapping:
Source: 10-K, accession #0000070318-26-000012, filed 2026-02-17
Period: 4Q25 / period ended 2025-12-31
Model row: Model!153 Noncontrolling Interests
Mapping type: direct
Concepts used: MinorityInterest = 1797 mm
Unit conversion: raw USD to $mm
Sign: copied using model sign convention
Confidence: high
Value written: 1797
EDGAR Mapper:
Calculated as the residual needed for balance-sheet total liabilities plus shareholders' equity to tie to EDGAR.</t>
        </r>
      </text>
    </comment>
    <comment ref="U153" authorId="0">
      <text>
        <r>
          <rPr>
            <b/>
          </rPr>
          <t xml:space="preserve">EDGAR Mapper:
</t>
        </r>
        <r>
          <t xml:space="preserve">EDGAR mapping:
Source: 10-Q, accession #0000070318-26-000026, filed 2026-04-30
Period: 1Q26 / period ended 2026-03-31
Model row: Model!153 Noncontrolling Interests
Mapping type: direct
Concepts used: MinorityInterest = 1899 mm
Unit conversion: raw USD to $mm
Sign: copied using model sign convention
Confidence: high
Value written: 1899
EDGAR Mapper:
Calculated as the residual needed for balance-sheet total liabilities plus shareholders' equity to tie to EDGAR.</t>
        </r>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Quarterly value was derived from Share-based Payment Arrangement, Noncash Expense less 1Q23, 2Q23, 3Q23. Quarterly value was derived from Share-based Payment Arrangement, Noncash Expense less 1Q24, 2Q24. Quarterly value was derived from Share-based Payment Arrangement, Noncash Expense less 1Q25. Quarterly value was derived from Share-based Payment Arrangement, Noncash Expense less 1Q25, 2Q25.</t>
        </r>
      </text>
    </comment>
    <comment ref="F246" authorId="0">
      <text>
        <r>
          <rPr>
            <b/>
          </rPr>
          <t xml:space="preserve">EDGAR Mapper:
</t>
        </r>
        <r>
          <t xml:space="preserve">EDGAR mapping:
Source: 10-Q, accession #0000070318-24-000032, filed 2024-04-30
Period: 1Q23 / period ended 2023-03-31
Model row: Model!246 Stock-Based Comp Expense
Mapping type: direct
Concepts used: ShareBasedCompensation = 14 mm
Unit conversion: raw USD to $mm
Sign: copied using model sign convention
Confidence: high
Value written: 14</t>
        </r>
      </text>
    </comment>
    <comment ref="I246" authorId="0">
      <text>
        <r>
          <rPr>
            <b/>
          </rPr>
          <t xml:space="preserve">EDGAR Mapper:
</t>
        </r>
        <r>
          <t xml:space="preserve">EDGAR mapping:
Source: SEC filing
Period: 4Q23
Model row: Model!246 Stock-Based Comp Expense
Mapping type: direct
Concepts used: ShareBasedCompensation = 18 mm
Unit conversion: raw USD to $mm
Sign: copied using model sign convention
Confidence: high
Value written: 18
Notes: Quarterly value was derived from Share-based Payment Arrangement, Noncash Expense less 1Q23, 2Q23, 3Q23.</t>
        </r>
      </text>
    </comment>
    <comment ref="K246" authorId="0">
      <text>
        <r>
          <rPr>
            <b/>
          </rPr>
          <t xml:space="preserve">EDGAR Mapper:
</t>
        </r>
        <r>
          <t xml:space="preserve">EDGAR mapping:
Source: 10-Q, accession #0000070318-25-000017, filed 2025-04-29
Period: 1Q24 / period ended 2024-03-31
Model row: Model!246 Stock-Based Comp Expense
Mapping type: direct
Concepts used: ShareBasedCompensation = 17 mm
Unit conversion: raw USD to $mm
Sign: copied using model sign convention
Confidence: high
Value written: 17</t>
        </r>
      </text>
    </comment>
    <comment ref="M246" authorId="0">
      <text>
        <r>
          <rPr>
            <b/>
          </rPr>
          <t xml:space="preserve">EDGAR Mapper:
</t>
        </r>
        <r>
          <t xml:space="preserve">EDGAR mapping:
Source: 10-Q, accession #0000070318-25-000046, filed 2025-10-28
Period: 3Q24 / period ended 2024-09-30
Model row: Model!246 Stock-Based Comp Expense
Mapping type: direct
Concepts used: ShareBasedCompensation = 16 mm
Unit conversion: raw USD to $mm
Sign: copied using model sign convention
Confidence: high
Value written: 16
Notes: Quarterly value was derived from Share-based Payment Arrangement, Noncash Expense less 1Q24, 2Q24.</t>
        </r>
      </text>
    </comment>
    <comment ref="P246" authorId="0">
      <text>
        <r>
          <rPr>
            <b/>
          </rPr>
          <t xml:space="preserve">EDGAR Mapper:
</t>
        </r>
        <r>
          <t xml:space="preserve">EDGAR mapping:
Source: 10-Q, accession #0000070318-26-000026, filed 2026-04-30
Period: 1Q25 / period ended 2025-03-31
Model row: Model!246 Stock-Based Comp Expense
Mapping type: direct
Concepts used: ShareBasedCompensation = 21 mm
Unit conversion: raw USD to $mm
Sign: copied using model sign convention
Confidence: high
Value written: 21</t>
        </r>
      </text>
    </comment>
    <comment ref="Q246" authorId="0">
      <text>
        <r>
          <rPr>
            <b/>
          </rPr>
          <t xml:space="preserve">EDGAR Mapper:
</t>
        </r>
        <r>
          <t xml:space="preserve">EDGAR mapping:
Source: 10-Q, accession #0000070318-25-000039, filed 2025-07-30
Period: 2Q25 / period ended 2025-06-30
Model row: Model!246 Stock-Based Comp Expense
Mapping type: direct
Concepts used: ShareBasedCompensation = 20 mm
Unit conversion: raw USD to $mm
Sign: copied using model sign convention
Confidence: high
Value written: 20
Notes: Quarterly value was derived from Share-based Payment Arrangement, Noncash Expense less 1Q25.</t>
        </r>
      </text>
    </comment>
    <comment ref="R246" authorId="0">
      <text>
        <r>
          <rPr>
            <b/>
          </rPr>
          <t xml:space="preserve">EDGAR Mapper:
</t>
        </r>
        <r>
          <t xml:space="preserve">EDGAR mapping:
Source: 10-Q, accession #0000070318-25-000046, filed 2025-10-28
Period: 3Q25 / period ended 2025-09-30
Model row: Model!246 Stock-Based Comp Expense
Mapping type: direct
Concepts used: ShareBasedCompensation = 38 mm
Unit conversion: raw USD to $mm
Sign: copied using model sign convention
Confidence: high
Value written: 38
Notes: Quarterly value was derived from Share-based Payment Arrangement, Noncash Expense less 1Q25, 2Q25.</t>
        </r>
      </text>
    </comment>
    <comment ref="U246" authorId="0">
      <text>
        <r>
          <rPr>
            <b/>
          </rPr>
          <t xml:space="preserve">EDGAR Mapper:
</t>
        </r>
        <r>
          <t xml:space="preserve">EDGAR mapping:
Source: 10-Q, accession #0000070318-26-000026, filed 2026-04-30
Period: 1Q26 / period ended 2026-03-31
Model row: Model!246 Stock-Based Comp Expense
Mapping type: direct
Concepts used: ShareBasedCompensation = 25 mm
Unit conversion: raw USD to $mm
Sign: copied using model sign convention
Confidence: high
Value written: 25</t>
        </r>
      </text>
    </comment>
    <comment ref="C254" authorId="0">
      <text>
        <r>
          <rPr>
            <b/>
          </rPr>
          <t xml:space="preserve">EDGAR Mapper:
</t>
        </r>
        <r>
          <t>Needs review: one or more historical periods were left unchanged because no matching EDGAR fact was found.</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G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H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I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K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L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M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N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P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Q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R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S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U8"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Revenue rows to tie to EDGAR consolidated revenue.</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G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H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I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K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L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M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N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P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Q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R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S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U34" authorId="0">
      <text>
        <r>
          <rPr>
            <b/>
          </rPr>
          <t xml:space="preserve">EDGAR Mapper:
</t>
        </r>
        <r>
          <t xml:space="preserve">Needs review: Segment Analysis row was not filled because the template label is blank, generic, or does not confidently match an EDGAR reportable segment.
EDGAR Mapper:
Calculated as the residual needed for Segment Analysis Operating Income rows to tie to EDGAR consolidated operating income.</t>
        </r>
      </text>
    </comment>
    <comment ref="V34"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<sst xmlns="http://schemas.openxmlformats.org/spreadsheetml/2006/main" count="9011" uniqueCount="1741">
  <si>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</si>
  <si>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</si>
  <si>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</si>
  <si>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</si>
  <si>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</si>
  <si>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</si>
  <si>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</si>
  <si>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</si>
  <si>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</si>
  <si>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</si>
  <si>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</si>
  <si>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</si>
  <si>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</si>
  <si>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</si>
  <si>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</si>
  <si>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</si>
  <si>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</si>
  <si>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</si>
  <si>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</si>
  <si>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</si>
  <si>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</si>
  <si>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</si>
  <si>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</si>
  <si>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</si>
  <si>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TENET HEALTHCARE CORP</t>
  </si>
  <si>
    <t>Ticker</t>
  </si>
  <si>
    <t>THC</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</si>
  <si>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</si>
  <si>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</si>
  <si>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</si>
  <si>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</si>
  <si>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</si>
  <si>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</si>
  <si>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</si>
  <si>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</si>
  <si>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</si>
  <si>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</si>
  <si>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</si>
  <si>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</si>
  <si>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</si>
  <si>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</si>
  <si>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</si>
  <si>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</si>
  <si>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</si>
  <si>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</si>
  <si>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</si>
  <si>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</si>
  <si>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</si>
  <si>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</si>
  <si>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</si>
  <si>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</si>
  <si>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</si>
  <si>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</si>
  <si>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</si>
  <si>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</si>
  <si>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</si>
  <si>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</si>
  <si>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</si>
  <si>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</si>
  <si>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</si>
  <si>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</si>
  <si>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</si>
  <si>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</si>
  <si>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</si>
  <si>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</si>
  <si>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</si>
  <si>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</si>
  <si>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</si>
  <si>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</si>
  <si>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</si>
  <si>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</si>
  <si>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</si>
  <si>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</si>
  <si>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</si>
  <si>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</si>
  <si>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</si>
  <si>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</si>
  <si>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</si>
  <si>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</si>
  <si>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</si>
  <si>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</si>
  <si>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</si>
  <si>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</si>
  <si>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</si>
  <si>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</si>
  <si>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</si>
  <si>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</si>
  <si>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</si>
  <si>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</si>
  <si>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</si>
  <si>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</si>
  <si>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</si>
  <si>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</si>
  <si>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</si>
  <si>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</si>
  <si>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</si>
  <si>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</si>
  <si>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</si>
  <si>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</si>
  <si>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</si>
  <si>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</si>
  <si>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</si>
  <si>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</si>
  <si>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</si>
  <si>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</si>
  <si>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</si>
  <si>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</si>
  <si>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</si>
  <si>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</si>
  <si>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</si>
  <si>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</si>
  <si>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</si>
  <si>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</si>
  <si>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</si>
  <si>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</si>
  <si>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</si>
  <si>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</si>
  <si>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</si>
  <si>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</si>
  <si>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</si>
  <si>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</si>
  <si>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</si>
  <si>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</si>
  <si>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</si>
  <si>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</si>
  <si>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</si>
  <si>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</si>
  <si>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</si>
  <si>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</si>
  <si>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</si>
  <si>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</si>
  <si>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</si>
  <si>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</si>
  <si>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</si>
  <si>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</si>
  <si>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</si>
  <si>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</si>
  <si>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</si>
  <si>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</si>
  <si>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</si>
  <si>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</si>
  <si>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</si>
  <si>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</si>
  <si>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</si>
  <si>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</si>
  <si>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</si>
  <si>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</si>
  <si>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</si>
  <si>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</si>
  <si>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</si>
  <si>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</si>
  <si>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</si>
  <si>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</si>
  <si>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</si>
  <si>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</si>
  <si>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</si>
  <si>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</si>
  <si>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</si>
  <si>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</si>
  <si>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</si>
  <si>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</si>
  <si>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</si>
  <si>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</si>
  <si>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</si>
  <si>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</si>
  <si>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</si>
  <si>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</si>
  <si>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</si>
  <si>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</si>
  <si>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</si>
  <si>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</si>
  <si>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</si>
  <si>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</si>
  <si>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</si>
  <si>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</si>
  <si>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</si>
  <si>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</si>
  <si>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</si>
  <si>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</si>
  <si>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</si>
  <si>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</si>
  <si>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</si>
  <si>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</si>
  <si>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</si>
  <si>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</si>
  <si>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</si>
  <si>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</si>
  <si>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</si>
  <si>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</si>
  <si>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</si>
  <si>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</si>
  <si>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</si>
  <si>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</si>
  <si>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</si>
  <si>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</si>
  <si>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</si>
  <si>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</si>
  <si>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</si>
  <si>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</si>
  <si>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</si>
  <si>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</si>
  <si>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</si>
  <si>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</si>
  <si>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</si>
  <si>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</si>
  <si>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</si>
  <si>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</si>
  <si>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</si>
  <si>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</si>
  <si>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</si>
  <si>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</si>
  <si>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</si>
  <si>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</si>
  <si>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</si>
  <si>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</si>
  <si>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</si>
  <si>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</si>
  <si>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</si>
  <si>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</si>
  <si>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</si>
  <si>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</si>
  <si>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</si>
  <si>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</si>
  <si>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</si>
  <si>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</si>
  <si>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</si>
  <si>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</si>
  <si>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</si>
  <si>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</si>
  <si>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</si>
  <si>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</si>
  <si>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</si>
  <si>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</si>
  <si>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</si>
  <si>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</si>
  <si>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</si>
  <si>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</si>
  <si>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</si>
  <si>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</si>
  <si>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</si>
  <si>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</si>
  <si>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</si>
  <si>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</si>
  <si>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</si>
  <si>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</si>
  <si>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</si>
  <si>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</si>
  <si>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</si>
  <si>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</si>
  <si>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</si>
  <si>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</si>
  <si>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</si>
  <si>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</si>
  <si>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</si>
  <si>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</si>
  <si>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</si>
  <si>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</si>
  <si>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</si>
  <si>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</si>
  <si>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</si>
  <si>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</si>
  <si>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</si>
  <si>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</si>
  <si>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</si>
  <si>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</si>
  <si>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</si>
  <si>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</si>
  <si>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</si>
  <si>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</si>
  <si>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</si>
  <si>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</si>
  <si>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</si>
  <si>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</si>
  <si>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</si>
  <si>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</si>
  <si>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</si>
  <si>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</si>
  <si>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</si>
  <si>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</si>
  <si>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</si>
  <si>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</si>
  <si>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</si>
  <si>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</si>
  <si>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</si>
  <si>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</si>
  <si>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</si>
  <si>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</si>
  <si>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</si>
  <si>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</si>
  <si>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</si>
  <si>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</si>
  <si>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</si>
  <si>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</si>
  <si>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</si>
  <si>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</si>
  <si>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</si>
  <si>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</si>
  <si>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</si>
  <si>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</si>
  <si>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</si>
  <si>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</si>
  <si>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</si>
  <si>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</si>
  <si>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</si>
  <si>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</si>
  <si>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</si>
  <si>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</si>
  <si>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</si>
  <si>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</si>
  <si>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</si>
  <si>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</si>
  <si>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</si>
  <si>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</si>
  <si>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</si>
  <si>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</si>
  <si>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</si>
  <si>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</si>
  <si>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</si>
  <si>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</si>
  <si>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</si>
  <si>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</si>
  <si>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</si>
  <si>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</si>
  <si>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</si>
  <si>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</si>
  <si>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</si>
  <si>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</si>
  <si>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</si>
  <si>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</si>
  <si>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</si>
  <si>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</si>
  <si>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</si>
  <si>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</si>
  <si>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</si>
  <si>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</si>
  <si>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</si>
  <si>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</si>
  <si>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</si>
  <si>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</si>
  <si>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</si>
  <si>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</si>
  <si>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</si>
  <si>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</si>
  <si>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</si>
  <si>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</si>
  <si>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</si>
  <si>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</si>
  <si>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</si>
  <si>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</si>
  <si>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</si>
  <si>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</si>
  <si>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</si>
  <si>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</si>
  <si>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</si>
  <si>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</si>
  <si>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</si>
  <si>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</si>
  <si>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</si>
  <si>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</si>
  <si>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</si>
  <si>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</si>
  <si>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</si>
  <si>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</si>
  <si>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</si>
  <si>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</si>
  <si>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</si>
  <si>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</si>
  <si>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</si>
  <si>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</si>
  <si>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</si>
  <si>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</si>
  <si>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</si>
  <si>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</si>
  <si>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</si>
  <si>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</si>
  <si>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</si>
  <si>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</si>
  <si>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</si>
  <si>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</si>
  <si>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</si>
  <si>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</si>
  <si>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</si>
  <si>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</si>
  <si>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</si>
  <si>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</si>
  <si>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</si>
  <si>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</si>
  <si>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</si>
  <si>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</si>
  <si>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</si>
  <si>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</si>
  <si>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</si>
  <si>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</si>
  <si>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</si>
  <si>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</si>
  <si>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</si>
  <si>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</si>
  <si>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</si>
  <si>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</si>
  <si>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</si>
  <si>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</si>
  <si>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</si>
  <si>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</si>
  <si>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</si>
  <si>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</si>
  <si>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</si>
  <si>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</si>
  <si>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</si>
  <si>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</si>
  <si>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</si>
  <si>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</si>
  <si>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</si>
  <si>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</si>
  <si>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</si>
  <si>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</si>
  <si>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</si>
  <si>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</si>
  <si>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</si>
  <si>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</si>
  <si>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</si>
  <si>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</si>
  <si>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</si>
  <si>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</si>
  <si>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</si>
  <si>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</si>
  <si>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</si>
  <si>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</si>
  <si>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</si>
  <si>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</si>
  <si>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</si>
  <si>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</si>
  <si>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</si>
  <si>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</si>
  <si>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</si>
  <si>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</si>
  <si>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</si>
  <si>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</si>
  <si>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</si>
  <si>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</si>
  <si>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</si>
  <si>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</si>
  <si>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</si>
  <si>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</si>
  <si>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</si>
  <si>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</si>
  <si>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</si>
  <si>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</si>
  <si>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</si>
  <si>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</si>
  <si>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</si>
  <si>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</si>
  <si>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</si>
  <si>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</si>
  <si>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</si>
  <si>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</si>
  <si>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</si>
  <si>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</si>
  <si>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</si>
  <si>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</si>
  <si>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</si>
  <si>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</si>
  <si>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</si>
  <si>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</si>
  <si>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</si>
  <si>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</si>
  <si>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</si>
  <si>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</si>
  <si>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</si>
  <si>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</si>
  <si>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</si>
  <si>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</si>
  <si>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</si>
  <si>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</si>
  <si>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</si>
  <si>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</si>
  <si>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</si>
  <si>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</si>
  <si>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</si>
  <si>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</si>
  <si>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</si>
  <si>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</si>
  <si>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</si>
  <si>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</si>
  <si>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</si>
  <si>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</si>
  <si>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</si>
  <si>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</si>
  <si>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</si>
  <si>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</si>
  <si>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</si>
  <si>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</si>
  <si>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</si>
  <si>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</si>
  <si>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</si>
  <si>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</si>
  <si>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</si>
  <si>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</si>
  <si>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</si>
  <si>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</si>
  <si>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</si>
  <si>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</si>
  <si>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</si>
  <si>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</si>
  <si>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</si>
  <si>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</si>
  <si>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</si>
  <si>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</si>
  <si>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</si>
  <si>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</si>
  <si>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</si>
  <si>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</si>
  <si>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</si>
  <si>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</si>
  <si>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</si>
  <si>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</si>
  <si>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</si>
  <si>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</si>
  <si>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</si>
  <si>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</si>
  <si>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</si>
  <si>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</si>
  <si>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</si>
  <si>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</si>
  <si>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</si>
  <si>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</si>
  <si>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</si>
  <si>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</si>
  <si>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</si>
  <si>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</si>
  <si>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</si>
  <si>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</si>
  <si>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</si>
  <si>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</si>
  <si>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</si>
  <si>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</si>
  <si>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</si>
  <si>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</si>
  <si>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</si>
  <si>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</si>
  <si>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</si>
  <si>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</si>
  <si>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</si>
  <si>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</si>
  <si>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</si>
  <si>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</si>
  <si>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</si>
  <si>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</si>
  <si>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</si>
  <si>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</si>
  <si>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</si>
  <si>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</si>
  <si>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</si>
  <si>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</si>
  <si>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</si>
  <si>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</si>
  <si>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</si>
  <si>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</si>
  <si>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</si>
  <si>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</si>
  <si>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</si>
  <si>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</si>
  <si>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</si>
  <si>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</si>
  <si>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</si>
  <si>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</si>
  <si>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</si>
  <si>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</si>
  <si>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</si>
  <si>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</si>
  <si>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</si>
  <si>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</si>
  <si>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</si>
  <si>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</si>
  <si>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</si>
  <si>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</si>
  <si>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</si>
  <si>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</si>
  <si>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</si>
  <si>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</si>
  <si>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</si>
  <si>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</si>
  <si>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</si>
  <si>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</si>
  <si>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</si>
  <si>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</si>
  <si>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</si>
  <si>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</si>
  <si>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</si>
  <si>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</si>
  <si>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</si>
  <si>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</si>
  <si>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</si>
  <si>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</si>
  <si>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</si>
  <si>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</si>
  <si>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</si>
  <si>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</si>
  <si>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</si>
  <si>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</si>
  <si>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</si>
  <si>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</si>
  <si>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</si>
  <si>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</si>
  <si>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</si>
  <si>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</si>
  <si>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</si>
  <si>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</si>
  <si>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</si>
  <si>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</si>
  <si>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</si>
  <si>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</si>
  <si>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</si>
  <si>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</si>
  <si>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</si>
  <si>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</si>
  <si>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</si>
  <si>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</si>
  <si>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</si>
  <si>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</si>
  <si>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</si>
  <si>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</si>
  <si>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</si>
  <si>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</si>
  <si>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</si>
  <si>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</si>
  <si>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</si>
  <si>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</si>
  <si>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</si>
  <si>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</si>
  <si>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</si>
  <si>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</si>
  <si>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</si>
  <si>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</si>
  <si>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</si>
  <si>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</si>
  <si>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</si>
  <si>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</si>
  <si>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</si>
  <si>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</si>
  <si>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</si>
  <si>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</si>
  <si>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</si>
  <si>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</si>
  <si>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</si>
  <si>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</si>
  <si>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</si>
  <si>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</si>
  <si>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</si>
  <si>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</si>
  <si>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</si>
  <si>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</si>
  <si>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</si>
  <si>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</si>
  <si>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</si>
  <si>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</si>
  <si>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</si>
  <si>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</si>
  <si>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</si>
  <si>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</si>
  <si>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</si>
  <si>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</si>
  <si>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</si>
  <si>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</si>
  <si>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</si>
  <si>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</si>
  <si>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</si>
  <si>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</si>
  <si>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</si>
  <si>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</si>
  <si>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</si>
  <si>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</si>
  <si>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</si>
  <si>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</si>
  <si>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</si>
  <si>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</si>
  <si>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</si>
  <si>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</si>
  <si>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</si>
  <si>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</si>
  <si>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</si>
  <si>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</si>
  <si>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</si>
  <si>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</si>
  <si>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</si>
  <si>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</si>
  <si>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</si>
  <si>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</si>
  <si>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</si>
  <si>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</si>
  <si>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</si>
  <si>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</si>
  <si>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</si>
  <si>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</si>
  <si>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</si>
  <si>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</si>
  <si>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</si>
  <si>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</si>
  <si>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</si>
  <si>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</si>
  <si>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</si>
  <si>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</si>
  <si>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</si>
  <si>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</si>
  <si>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</si>
  <si>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</si>
  <si>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</si>
  <si>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</si>
  <si>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</si>
  <si>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</si>
  <si>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</si>
  <si>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</si>
  <si>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</si>
  <si>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</si>
  <si>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</si>
  <si>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</si>
  <si>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</si>
  <si>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</si>
  <si>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</si>
  <si>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</si>
  <si>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</si>
  <si>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</si>
  <si>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</si>
  <si>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</si>
  <si>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</si>
  <si>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</si>
  <si>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</si>
  <si>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</si>
  <si>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</si>
  <si>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</si>
  <si>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</si>
  <si>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</si>
  <si>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</si>
  <si>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</si>
  <si>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</si>
  <si>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</si>
  <si>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</si>
  <si>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</si>
  <si>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</si>
  <si>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</si>
  <si>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</si>
  <si>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</si>
  <si>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</si>
  <si>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</si>
  <si>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</si>
  <si>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</si>
  <si>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</si>
  <si>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</si>
  <si>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</si>
  <si>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</si>
  <si>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</si>
  <si>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</si>
  <si>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</si>
  <si>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</si>
  <si>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</si>
  <si>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</si>
  <si>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</si>
  <si>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</si>
  <si>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</si>
  <si>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</si>
  <si>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</si>
  <si>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</si>
  <si>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</si>
  <si>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</si>
  <si>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</si>
  <si>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</si>
  <si>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</si>
  <si>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</si>
  <si>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</si>
  <si>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</si>
  <si>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</si>
  <si>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</si>
  <si>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</si>
  <si>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</si>
  <si>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</si>
  <si>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</si>
  <si>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</si>
  <si>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</si>
  <si>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</si>
  <si>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</si>
  <si>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</si>
  <si>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</si>
  <si>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</si>
  <si>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</si>
  <si>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</si>
  <si>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</si>
  <si>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</si>
  <si>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</si>
  <si>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</si>
  <si>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</si>
  <si>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</si>
  <si>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</si>
  <si>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</si>
  <si>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</si>
  <si>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</si>
  <si>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</si>
  <si>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</si>
  <si>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</si>
  <si>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</si>
  <si>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</si>
  <si>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</si>
  <si>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</si>
  <si>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</si>
  <si>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</si>
  <si>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</si>
  <si>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</si>
  <si>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</si>
  <si>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</si>
  <si>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</si>
  <si>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</si>
  <si>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</si>
  <si>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</si>
  <si>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</si>
  <si>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</si>
  <si>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</si>
  <si>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</si>
  <si>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</si>
  <si>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</si>
  <si>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</si>
  <si>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</si>
  <si>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</si>
  <si>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</si>
  <si>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</si>
  <si>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</si>
  <si>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</si>
  <si>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</si>
  <si>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</si>
  <si>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</si>
  <si>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</si>
  <si>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</si>
  <si>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</si>
  <si>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</si>
  <si>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</si>
  <si>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</si>
  <si>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</si>
  <si>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</si>
  <si>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</si>
  <si>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</si>
  <si>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</si>
  <si>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</si>
  <si>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</si>
  <si>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</si>
  <si>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</si>
  <si>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</si>
  <si>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</si>
  <si>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</si>
  <si>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</si>
  <si>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</si>
  <si>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</si>
  <si>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</si>
  <si>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</si>
  <si>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</si>
  <si>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</si>
  <si>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</si>
  <si>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</si>
  <si>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</si>
  <si>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</si>
  <si>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</si>
  <si>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</si>
  <si>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</si>
  <si>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</si>
  <si>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</si>
  <si>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</si>
  <si>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</si>
  <si>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</si>
  <si>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</si>
  <si>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</si>
  <si>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</si>
  <si>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</si>
  <si>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</si>
  <si>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</si>
  <si>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</si>
  <si>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</si>
  <si>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</si>
  <si>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</si>
  <si>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</si>
  <si>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</si>
  <si>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</si>
  <si>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</si>
  <si>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</si>
  <si>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</si>
  <si>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</si>
  <si>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</si>
  <si>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</si>
  <si>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</si>
  <si>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</si>
  <si>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</si>
  <si>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</si>
  <si>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</si>
  <si>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</si>
  <si>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</si>
  <si>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</si>
  <si>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</si>
  <si>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</si>
  <si>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</si>
  <si>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</si>
  <si>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</si>
  <si>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</si>
  <si>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</si>
  <si>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</si>
  <si>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</si>
  <si>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</si>
  <si>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</si>
  <si>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</si>
  <si>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</si>
  <si>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</si>
  <si>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</si>
  <si>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</si>
  <si>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</si>
  <si>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</si>
  <si>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</si>
  <si>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</si>
  <si>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</si>
  <si>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</si>
  <si>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</si>
  <si>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</si>
  <si>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</si>
  <si>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</si>
  <si>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</si>
  <si>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</si>
  <si>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</si>
  <si>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</si>
  <si>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</si>
  <si>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</si>
  <si>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</si>
  <si>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</si>
  <si>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</si>
  <si>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</si>
  <si>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</si>
  <si>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</si>
  <si>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</si>
  <si>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</si>
  <si>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</si>
  <si>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</si>
  <si>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</si>
  <si>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</si>
  <si>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</si>
  <si>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</si>
  <si>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</si>
  <si>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</si>
  <si>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</si>
  <si>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</si>
  <si>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</si>
  <si>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</si>
  <si>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</si>
  <si>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</si>
  <si>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</si>
  <si>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</si>
  <si>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</si>
  <si>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</si>
  <si>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</si>
  <si>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</si>
  <si>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</si>
  <si>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</si>
  <si>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</si>
  <si>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</si>
  <si>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</si>
  <si>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</si>
  <si>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</si>
  <si>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</si>
  <si>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</si>
  <si>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</si>
  <si>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</si>
  <si>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</si>
  <si>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</si>
  <si>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</si>
  <si>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</si>
  <si>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</si>
  <si>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</si>
  <si>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</si>
  <si>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</si>
  <si>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</si>
  <si>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</si>
  <si>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</si>
  <si>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</si>
  <si>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</si>
  <si>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</si>
  <si>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</si>
  <si>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</si>
  <si>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</si>
  <si>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</si>
  <si>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</si>
  <si>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</si>
  <si>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</si>
  <si>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</si>
  <si>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</si>
  <si>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</si>
  <si>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</si>
  <si>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</si>
  <si>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</si>
  <si>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</si>
  <si>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</si>
  <si>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</si>
  <si>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</si>
  <si>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</si>
  <si>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</si>
  <si>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</si>
  <si>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</si>
  <si>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</si>
  <si>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</si>
  <si>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</si>
  <si>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</si>
  <si>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</si>
  <si>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</si>
  <si>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</si>
  <si>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</si>
  <si>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</si>
  <si>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</si>
  <si>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</si>
  <si>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</si>
  <si>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</si>
  <si>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</si>
  <si>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</si>
  <si>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</si>
  <si>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</si>
  <si>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</si>
  <si>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</si>
  <si>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</si>
  <si>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I29</t>
  </si>
  <si>
    <t>formula</t>
  </si>
  <si>
    <t>CostOfRevenue; CostOfGoodsAndServicesSold; CostOfGoodsSold; CostOfGoodsAndServiceExcludingDepreciationDepletionAndAmortization; CostOfRevenueExcludingDepreciationDepletionAndAmortization; DirectCostsOfLeasedAndRentedPropertyOrEquipment</t>
  </si>
  <si>
    <t>existing formula cell</t>
  </si>
  <si>
    <t>low</t>
  </si>
  <si>
    <t>formula_preserved</t>
  </si>
  <si>
    <t>Formula preserved; EDGAR value was not written over an existing model formula.</t>
  </si>
  <si>
    <t>I32</t>
  </si>
  <si>
    <t>F39</t>
  </si>
  <si>
    <t>direct</t>
  </si>
  <si>
    <t>InterestExpense=221mm</t>
  </si>
  <si>
    <t>0000070318-24-000032</t>
  </si>
  <si>
    <t>copied</t>
  </si>
  <si>
    <t>not_run</t>
  </si>
  <si>
    <t>Included SEC interest expense, including operating interest expense when that is the company's presentation.</t>
  </si>
  <si>
    <t>G39</t>
  </si>
  <si>
    <t>InterestExpense=226mm</t>
  </si>
  <si>
    <t>0000070318-23-000041</t>
  </si>
  <si>
    <t>H39</t>
  </si>
  <si>
    <t>InterestExpense=227mm</t>
  </si>
  <si>
    <t>0000070318-23-000055</t>
  </si>
  <si>
    <t>I39</t>
  </si>
  <si>
    <t>K39</t>
  </si>
  <si>
    <t>InterestExpense=218mm</t>
  </si>
  <si>
    <t>F41</t>
  </si>
  <si>
    <t>OtherNonoperatingIncomeExpense=-2mm</t>
  </si>
  <si>
    <t>G41</t>
  </si>
  <si>
    <t>OtherNonoperatingIncomeExpense=6mm</t>
  </si>
  <si>
    <t>0000070318-24-000041</t>
  </si>
  <si>
    <t>H41</t>
  </si>
  <si>
    <t>OtherNonoperatingIncomeExpense=4mm</t>
  </si>
  <si>
    <t>0000070318-24-000052</t>
  </si>
  <si>
    <t>I41</t>
  </si>
  <si>
    <t>OtherNonoperatingIncomeExpense=11mm</t>
  </si>
  <si>
    <t>Quarterly value was derived from Other Nonoperating Income (Expense) less 1Q23, 2Q23, 3Q23.</t>
  </si>
  <si>
    <t>K41</t>
  </si>
  <si>
    <t>OtherNonoperatingIncomeExpense=25mm</t>
  </si>
  <si>
    <t>0000070318-25-000017</t>
  </si>
  <si>
    <t>L41</t>
  </si>
  <si>
    <t>OtherNonoperatingIncomeExpense=29mm</t>
  </si>
  <si>
    <t>0000070318-25-000039</t>
  </si>
  <si>
    <t>M41</t>
  </si>
  <si>
    <t>OtherNonoperatingIncomeExpense=35mm</t>
  </si>
  <si>
    <t>0000070318-25-000046</t>
  </si>
  <si>
    <t>N41</t>
  </si>
  <si>
    <t>OtherNonoperatingIncomeExpense=37mm</t>
  </si>
  <si>
    <t>Quarterly value was derived from Other Nonoperating Income (Expense) less 1Q24, 2Q24, 3Q24.</t>
  </si>
  <si>
    <t>P41</t>
  </si>
  <si>
    <t>OtherNonoperatingIncomeExpense=26mm</t>
  </si>
  <si>
    <t>0000070318-26-000026</t>
  </si>
  <si>
    <t>Q41</t>
  </si>
  <si>
    <t>R41</t>
  </si>
  <si>
    <t>S41</t>
  </si>
  <si>
    <t>OtherNonoperatingIncomeExpense; OtherIncome; OtherExpense</t>
  </si>
  <si>
    <t>U41</t>
  </si>
  <si>
    <t>OtherNonoperatingIncomeExpense=41mm</t>
  </si>
  <si>
    <t>F44</t>
  </si>
  <si>
    <t>IncomeTaxExpenseBenefit=84mm</t>
  </si>
  <si>
    <t>Mapped to EDGAR income tax expense/benefit using the model's negative-expense sign convention.</t>
  </si>
  <si>
    <t>G44</t>
  </si>
  <si>
    <t>IncomeTaxExpenseBenefit=80mm</t>
  </si>
  <si>
    <t>H44</t>
  </si>
  <si>
    <t>IncomeTaxExpenseBenefit=79mm</t>
  </si>
  <si>
    <t>I44</t>
  </si>
  <si>
    <t>K44</t>
  </si>
  <si>
    <t>IncomeTaxExpenseBenefit=750mm</t>
  </si>
  <si>
    <t>L44</t>
  </si>
  <si>
    <t>IncomeTaxExpenseBenefit=110mm</t>
  </si>
  <si>
    <t>M44</t>
  </si>
  <si>
    <t>IncomeTaxExpenseBenefit=241mm</t>
  </si>
  <si>
    <t>N44</t>
  </si>
  <si>
    <t>IncomeTaxExpenseBenefit=83mm</t>
  </si>
  <si>
    <t>Mapped to EDGAR income tax expense/benefit using the model's negative-expense sign convention. Quarterly value was derived from Income Tax Expense (Benefit) less 1Q24, 2Q24, 3Q24.</t>
  </si>
  <si>
    <t>P44</t>
  </si>
  <si>
    <t>IncomeTaxExpenseBenefit=143mm</t>
  </si>
  <si>
    <t>Q44</t>
  </si>
  <si>
    <t>IncomeTaxExpenseBenefit=120mm</t>
  </si>
  <si>
    <t>R44</t>
  </si>
  <si>
    <t>IncomeTaxExpenseBenefit=133mm</t>
  </si>
  <si>
    <t>S44</t>
  </si>
  <si>
    <t>IncomeTaxExpenseBenefit=37mm</t>
  </si>
  <si>
    <t>Mapped to EDGAR income tax expense/benefit using the model's negative-expense sign convention. Quarterly value was derived from Income Tax Expense (Benefit) less 1Q25, 2Q25, 3Q25.</t>
  </si>
  <si>
    <t>U44</t>
  </si>
  <si>
    <t>IncomeTaxExpenseBenefit=226mm</t>
  </si>
  <si>
    <t>H48</t>
  </si>
  <si>
    <t>F49</t>
  </si>
  <si>
    <t>grouped</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</si>
  <si>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</si>
  <si>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</si>
  <si>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</si>
  <si>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</si>
  <si>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</si>
  <si>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</si>
  <si>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</si>
  <si>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</si>
  <si>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</si>
  <si>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U49</t>
  </si>
  <si>
    <t>V49</t>
  </si>
  <si>
    <t>2Q26</t>
  </si>
  <si>
    <t>F50</t>
  </si>
  <si>
    <t>NetIncomeLossAttributableToNoncontrollingInterest=153mm</t>
  </si>
  <si>
    <t>Grouped from EDGAR: Net Income (Loss) Attributable to Noncontrolling Interest. Mapped to EDGAR income from continuing operations attributable to non-controlling interests.</t>
  </si>
  <si>
    <t>G50</t>
  </si>
  <si>
    <t>NetIncomeLossAttributableToNoncontrollingInterest=170mm</t>
  </si>
  <si>
    <t>H50</t>
  </si>
  <si>
    <t>NetIncomeLossAttributableToNoncontrollingInterest=165mm</t>
  </si>
  <si>
    <t>I50</t>
  </si>
  <si>
    <t>NetIncomeLossAttributableToNoncontrollingInterest=212mm</t>
  </si>
  <si>
    <t>Grouped from EDGAR: Net Income (Loss) Attributable to Noncontrolling Interest (derived Q4). Mapped to EDGAR income from continuing operations attributable to non-controlling interests. Quarterly value was derived from Net Income (Loss) Attributable to Noncontrolling Interest less 1Q23, 2Q23, 3Q23.</t>
  </si>
  <si>
    <t>P50</t>
  </si>
  <si>
    <t>NetIncomeLossAttributableToNoncontrollingInterest=216mm</t>
  </si>
  <si>
    <t>Q50</t>
  </si>
  <si>
    <t>NetIncomeLossAttributableToNoncontrollingInterest=234mm</t>
  </si>
  <si>
    <t>R50</t>
  </si>
  <si>
    <t>NetIncomeLossAttributableToNoncontrollingInterest=237mm</t>
  </si>
  <si>
    <t>S50</t>
  </si>
  <si>
    <t>NetIncomeLossAttributableToNoncontrollingInterest=273mm</t>
  </si>
  <si>
    <t>Grouped from EDGAR: Net Income (Loss) Attributable to Noncontrolling Interest (derived Q4). Mapped to EDGAR income from continuing operations attributable to non-controlling interests. Quarterly value was derived from Net Income (Loss) Attributable to Noncontrolling Interest less 1Q25, 2Q25, 3Q25.</t>
  </si>
  <si>
    <t>F120</t>
  </si>
  <si>
    <t>CashAndCashEquivalentsAtCarryingValue; CashCashEquivalentsRestrictedCashAndRestrictedCashEquivalents; CashCashEquivalentsRestrictedCashAndRestrictedCashEquivalentsIncludingDisposalGroupAndDiscontinuedOperations</t>
  </si>
  <si>
    <t>balance</t>
  </si>
  <si>
    <t>G120</t>
  </si>
  <si>
    <t>H120</t>
  </si>
  <si>
    <t>I120</t>
  </si>
  <si>
    <t>K120</t>
  </si>
  <si>
    <t>L120</t>
  </si>
  <si>
    <t>M120</t>
  </si>
  <si>
    <t>N120</t>
  </si>
  <si>
    <t>P120</t>
  </si>
  <si>
    <t>CashAndCashEquivalentsAtCarryingValue=2999mm</t>
  </si>
  <si>
    <t>Mapped to SEC cash and cash equivalents.</t>
  </si>
  <si>
    <t>Q120</t>
  </si>
  <si>
    <t>CashAndCashEquivalentsAtCarryingValue=2625mm</t>
  </si>
  <si>
    <t>R120</t>
  </si>
  <si>
    <t>CashAndCashEquivalentsAtCarryingValue=2975mm</t>
  </si>
  <si>
    <t>S120</t>
  </si>
  <si>
    <t>CashAndCashEquivalentsAtCarryingValue=2883mm</t>
  </si>
  <si>
    <t>0000070318-26-000012</t>
  </si>
  <si>
    <t>U120</t>
  </si>
  <si>
    <t>V120</t>
  </si>
  <si>
    <t>F121</t>
  </si>
  <si>
    <t>AccountsReceivableNetCurrent=2883mm</t>
  </si>
  <si>
    <t>0000070318-23-000019</t>
  </si>
  <si>
    <t>Grouped from EDGAR: Accounts Receivable, after Allowance for Credit Loss, Current.</t>
  </si>
  <si>
    <t>G121</t>
  </si>
  <si>
    <t>AccountsReceivableNetCurrent=2914mm</t>
  </si>
  <si>
    <t>H121</t>
  </si>
  <si>
    <t>AccountsReceivableNetCurrent=2897mm</t>
  </si>
  <si>
    <t>I121</t>
  </si>
  <si>
    <t>0000070318-25-000009</t>
  </si>
  <si>
    <t>K121</t>
  </si>
  <si>
    <t>AccountsReceivableNetCurrent=3148mm</t>
  </si>
  <si>
    <t>L121</t>
  </si>
  <si>
    <t>AccountsReceivableNetCurrent=2817mm</t>
  </si>
  <si>
    <t>M121</t>
  </si>
  <si>
    <t>AccountsReceivableNetCurrent=2598mm</t>
  </si>
  <si>
    <t>N121</t>
  </si>
  <si>
    <t>AccountsReceivableNetCurrent=2536mm</t>
  </si>
  <si>
    <t>P121</t>
  </si>
  <si>
    <t>AccountsReceivableNetCurrent=2619mm</t>
  </si>
  <si>
    <t>Q121</t>
  </si>
  <si>
    <t>AccountsReceivableNetCurrent=2533mm</t>
  </si>
  <si>
    <t>R121</t>
  </si>
  <si>
    <t>AccountsReceivableNetCurrent=2518mm</t>
  </si>
  <si>
    <t>S121</t>
  </si>
  <si>
    <t>AccountsReceivableNetCurrent=2565mm</t>
  </si>
  <si>
    <t>Grouped from EDGAR: Accounts Receivable net Current.</t>
  </si>
  <si>
    <t>U121</t>
  </si>
  <si>
    <t>AccountsReceivableNetCurrent=2605mm</t>
  </si>
  <si>
    <t>F122</t>
  </si>
  <si>
    <t>InventoryNet=407mm</t>
  </si>
  <si>
    <t>G122</t>
  </si>
  <si>
    <t>InventoryNet=404mm</t>
  </si>
  <si>
    <t>H122</t>
  </si>
  <si>
    <t>InventoryNet=413mm</t>
  </si>
  <si>
    <t>I122</t>
  </si>
  <si>
    <t>InventoryNet=411mm</t>
  </si>
  <si>
    <t>K122</t>
  </si>
  <si>
    <t>InventoryNet=395mm</t>
  </si>
  <si>
    <t>L122</t>
  </si>
  <si>
    <t>InventoryNet=382mm</t>
  </si>
  <si>
    <t>M122</t>
  </si>
  <si>
    <t>InventoryNet=356mm</t>
  </si>
  <si>
    <t>N122</t>
  </si>
  <si>
    <t>InventoryNet=346mm</t>
  </si>
  <si>
    <t>P122</t>
  </si>
  <si>
    <t>InventoryNet=344mm</t>
  </si>
  <si>
    <t>Q122</t>
  </si>
  <si>
    <t>InventoryNet=338mm</t>
  </si>
  <si>
    <t>R122</t>
  </si>
  <si>
    <t>S122</t>
  </si>
  <si>
    <t>InventoryNet=348mm</t>
  </si>
  <si>
    <t>U122</t>
  </si>
  <si>
    <t>InventoryNet=343mm</t>
  </si>
  <si>
    <t>F123</t>
  </si>
  <si>
    <t>AssetsCurrent=5869mm; CashAndCashEquivalentsAtCarryingValue=766mm; AccountsReceivableNetCurrent=2883mm; InventoryNet=407mm</t>
  </si>
  <si>
    <t>Grouped from EDGAR: Assets, Current, Cash and Cash Equivalents, at Carrying Value, Accounts Receivable, after Allowance for Credit Loss, Current, Inventory, Net. Included current assets less separately modeled cash, receivables, and inventory.</t>
  </si>
  <si>
    <t>G123</t>
  </si>
  <si>
    <t>AssetsCurrent=5995mm; CashAndCashEquivalentsAtCarryingValue=934mm; AccountsReceivableNetCurrent=2914mm; InventoryNet=404mm</t>
  </si>
  <si>
    <t>H123</t>
  </si>
  <si>
    <t>AssetsCurrent=6359mm; CashAndCashEquivalentsAtCarryingValue=1054mm; AccountsReceivableNetCurrent=2897mm; InventoryNet=413mm</t>
  </si>
  <si>
    <t>I123</t>
  </si>
  <si>
    <t>AssetsCurrent=7167mm; CashAndCashEquivalentsAtCarryingValue=1228mm; AccountsReceivableNetCurrent=2914mm; InventoryNet=411mm</t>
  </si>
  <si>
    <t>K123</t>
  </si>
  <si>
    <t>AssetsCurrent=7821mm; CashAndCashEquivalentsAtCarryingValue=2481mm; AccountsReceivableNetCurrent=3148mm; InventoryNet=395mm</t>
  </si>
  <si>
    <t>L123</t>
  </si>
  <si>
    <t>AssetsCurrent=7955mm; CashAndCashEquivalentsAtCarryingValue=2880mm; AccountsReceivableNetCurrent=2817mm; InventoryNet=382mm</t>
  </si>
  <si>
    <t>M123</t>
  </si>
  <si>
    <t>AssetsCurrent=8759mm; CashAndCashEquivalentsAtCarryingValue=4094mm; AccountsReceivableNetCurrent=2598mm; InventoryNet=356mm</t>
  </si>
  <si>
    <t>N123</t>
  </si>
  <si>
    <t>AssetsCurrent=7682mm; CashAndCashEquivalentsAtCarryingValue=3019mm; AccountsReceivableNetCurrent=2536mm; InventoryNet=346mm</t>
  </si>
  <si>
    <t>P123</t>
  </si>
  <si>
    <t>AssetsCurrent=7913mm; CashAndCashEquivalentsAtCarryingValue=2999mm; AccountsReceivableNetCurrent=2619mm; InventoryNet=344mm</t>
  </si>
  <si>
    <t>Q123</t>
  </si>
  <si>
    <t>AssetsCurrent=7298mm; CashAndCashEquivalentsAtCarryingValue=2625mm; AccountsReceivableNetCurrent=2533mm; InventoryNet=338mm</t>
  </si>
  <si>
    <t>R123</t>
  </si>
  <si>
    <t>AssetsCurrent=7810mm; CashAndCashEquivalentsAtCarryingValue=2975mm; AccountsReceivableNetCurrent=2518mm; InventoryNet=346mm</t>
  </si>
  <si>
    <t>S123</t>
  </si>
  <si>
    <t>AssetsCurrent=7849mm; CashAndCashEquivalentsAtCarryingValue=2883mm; AccountsReceivableNetCurrent=2565mm; InventoryNet=348mm</t>
  </si>
  <si>
    <t>0000070318-26-000026; 0000070318-26-000012</t>
  </si>
  <si>
    <t>Grouped from EDGAR: Assets, Current, Cash and Cash Equivalents At Carrying Value, Accounts Receivable net Current, Inventory net. Included current assets less separately modeled cash, receivables, and inventory.</t>
  </si>
  <si>
    <t>U123</t>
  </si>
  <si>
    <t>AssetsCurrent=8356mm; CashAndCashEquivalentsAtCarryingValue=2967mm; AccountsReceivableNetCurrent=2605mm; InventoryNet=343mm</t>
  </si>
  <si>
    <t>F126</t>
  </si>
  <si>
    <t>PropertyPlantAndEquipmentAndFinanceLeaseRightOfUseAssetAfterAccumulatedDepreciationAndAmortization=6319mm</t>
  </si>
  <si>
    <t>Grouped from EDGAR: Property, Plant, and Equipment and Finance Lease Right-of-Use Asset, after Accumulated Depreciation and Amortization.</t>
  </si>
  <si>
    <t>G126</t>
  </si>
  <si>
    <t>PropertyPlantAndEquipmentAndFinanceLeaseRightOfUseAssetAfterAccumulatedDepreciationAndAmortization=6268mm</t>
  </si>
  <si>
    <t>H126</t>
  </si>
  <si>
    <t>PropertyPlantAndEquipmentAndFinanceLeaseRightOfUseAssetAfterAccumulatedDepreciationAndAmortization=6260mm</t>
  </si>
  <si>
    <t>I126</t>
  </si>
  <si>
    <t>PropertyPlantAndEquipmentAndFinanceLeaseRightOfUseAssetAfterAccumulatedDepreciationAndAmortization=6236mm</t>
  </si>
  <si>
    <t>K126</t>
  </si>
  <si>
    <t>PropertyPlantAndEquipmentAndFinanceLeaseRightOfUseAssetAfterAccumulatedDepreciationAndAmortization=5855mm</t>
  </si>
  <si>
    <t>L126</t>
  </si>
  <si>
    <t>PropertyPlantAndEquipmentAndFinanceLeaseRightOfUseAssetAfterAccumulatedDepreciationAndAmortization=5857mm</t>
  </si>
  <si>
    <t>M126</t>
  </si>
  <si>
    <t>PropertyPlantAndEquipmentAndFinanceLeaseRightOfUseAssetAfterAccumulatedDepreciationAndAmortization=5552mm</t>
  </si>
  <si>
    <t>N126</t>
  </si>
  <si>
    <t>PropertyPlantAndEquipmentAndFinanceLeaseRightOfUseAssetAfterAccumulatedDepreciationAndAmortization=6049mm</t>
  </si>
  <si>
    <t>P126</t>
  </si>
  <si>
    <t>PropertyPlantAndEquipmentAndFinanceLeaseRightOfUseAssetAfterAccumulatedDepreciationAndAmortization=5991mm</t>
  </si>
  <si>
    <t>Q126</t>
  </si>
  <si>
    <t>PropertyPlantAndEquipmentAndFinanceLeaseRightOfUseAssetAfterAccumulatedDepreciationAndAmortization=6024mm</t>
  </si>
  <si>
    <t>R126</t>
  </si>
  <si>
    <t>PropertyPlantAndEquipmentAndFinanceLeaseRightOfUseAssetAfterAccumulatedDepreciationAndAmortization=6091mm</t>
  </si>
  <si>
    <t>S126</t>
  </si>
  <si>
    <t>PropertyPlantAndEquipmentAndFinanceLeaseRightOfUseAssetAfterAccumulatedDepreciationAndAmortization=6315mm</t>
  </si>
  <si>
    <t>Grouped from EDGAR: Property Plant and Equipment and Finance Lease Right of Use Asset After Accumulated Depreciation and Amortization.</t>
  </si>
  <si>
    <t>U126</t>
  </si>
  <si>
    <t>PropertyPlantAndEquipmentAndFinanceLeaseRightOfUseAssetAfterAccumulatedDepreciationAndAmortization=6251mm</t>
  </si>
  <si>
    <t>F127</t>
  </si>
  <si>
    <t>FiniteLivedIntangibleAssetsNet=716mm</t>
  </si>
  <si>
    <t>Grouped from EDGAR: Finite-Lived Intangible Assets, Net.</t>
  </si>
  <si>
    <t>G127</t>
  </si>
  <si>
    <t>FiniteLivedIntangibleAssetsNet=690mm</t>
  </si>
  <si>
    <t>H127</t>
  </si>
  <si>
    <t>FiniteLivedIntangibleAssetsNet=682mm</t>
  </si>
  <si>
    <t>I127</t>
  </si>
  <si>
    <t>FiniteLivedIntangibleAssetsNet=650mm</t>
  </si>
  <si>
    <t>K127</t>
  </si>
  <si>
    <t>FiniteLivedIntangibleAssetsNet=678mm</t>
  </si>
  <si>
    <t>L127</t>
  </si>
  <si>
    <t>FiniteLivedIntangibleAssetsNet=639mm</t>
  </si>
  <si>
    <t>M127</t>
  </si>
  <si>
    <t>FiniteLivedIntangibleAssetsNet=601mm</t>
  </si>
  <si>
    <t>N127</t>
  </si>
  <si>
    <t>FiniteLivedIntangibleAssetsNet=518mm</t>
  </si>
  <si>
    <t>P127</t>
  </si>
  <si>
    <t>Q127</t>
  </si>
  <si>
    <t>FiniteLivedIntangibleAssetsNet=490mm</t>
  </si>
  <si>
    <t>R127</t>
  </si>
  <si>
    <t>FiniteLivedIntangibleAssetsNet=462mm</t>
  </si>
  <si>
    <t>S127</t>
  </si>
  <si>
    <t>FiniteLivedIntangibleAssetsNet=466mm</t>
  </si>
  <si>
    <t>Grouped from EDGAR: Finite Lived Intangible Assets net.</t>
  </si>
  <si>
    <t>U127</t>
  </si>
  <si>
    <t>FiniteLivedIntangibleAssetsNet=432mm</t>
  </si>
  <si>
    <t>F128</t>
  </si>
  <si>
    <t>Goodwill=10258mm</t>
  </si>
  <si>
    <t>G128</t>
  </si>
  <si>
    <t>Goodwill=10350mm</t>
  </si>
  <si>
    <t>H128</t>
  </si>
  <si>
    <t>Goodwill=10415mm</t>
  </si>
  <si>
    <t>I128</t>
  </si>
  <si>
    <t>Goodwill=10307mm</t>
  </si>
  <si>
    <t>K128</t>
  </si>
  <si>
    <t>Goodwill=10568mm</t>
  </si>
  <si>
    <t>L128</t>
  </si>
  <si>
    <t>Goodwill=10799mm</t>
  </si>
  <si>
    <t>M128</t>
  </si>
  <si>
    <t>Goodwill=10588mm</t>
  </si>
  <si>
    <t>N128</t>
  </si>
  <si>
    <t>Goodwill=10691mm</t>
  </si>
  <si>
    <t>P128</t>
  </si>
  <si>
    <t>Goodwill=10786mm</t>
  </si>
  <si>
    <t>Q128</t>
  </si>
  <si>
    <t>Goodwill=10935mm</t>
  </si>
  <si>
    <t>R128</t>
  </si>
  <si>
    <t>Goodwill=11158mm</t>
  </si>
  <si>
    <t>S128</t>
  </si>
  <si>
    <t>Goodwill=11198mm</t>
  </si>
  <si>
    <t>U128</t>
  </si>
  <si>
    <t>Goodwill=11387mm</t>
  </si>
  <si>
    <t>F129</t>
  </si>
  <si>
    <t>G129</t>
  </si>
  <si>
    <t>H129</t>
  </si>
  <si>
    <t>I129</t>
  </si>
  <si>
    <t>K129</t>
  </si>
  <si>
    <t>L129</t>
  </si>
  <si>
    <t>M129</t>
  </si>
  <si>
    <t>N129</t>
  </si>
  <si>
    <t>P129</t>
  </si>
  <si>
    <t>Assets=29237mm; CashAndCashEquivalentsAtCarryingValue=2999mm; AccountsReceivableNetCurrent=2619mm; InventoryNet=344mm; AssetsCurrent=7913mm; CashAndCashEquivalentsAtCarryingValue=2999mm; AccountsReceivableNetCurrent=2619mm; InventoryNet=344mm; PropertyPlantAndEquipmentAndFinanceLeaseRightOfUseAssetAfterAccumulatedDepreciationAndAmortization=5991mm; FiniteLivedIntangibleAssetsNet=518mm; Goodwill=10786mm</t>
  </si>
  <si>
    <t>0000070318-25-000017; 0000070318-26-000026</t>
  </si>
  <si>
    <t>Grouped from EDGAR: Assets, Cash and Cash Equivalents, at Carrying Value, Accounts Receivable, after Allowance for Credit Loss, Current, Inventory, Net, Assets, Current, Property, Plant, and Equipment and Finance Lease Right-of-Use Asset, after Accumulated Depreciation and Amortization, Finite-Lived Intangible Assets, Net, Goodwill. Calculated from SEC total assets less current assets and separately modeled PP&amp;E, intangible assets, and goodwill.</t>
  </si>
  <si>
    <t>Q129</t>
  </si>
  <si>
    <t>Assets=28699mm; CashAndCashEquivalentsAtCarryingValue=2625mm; AccountsReceivableNetCurrent=2533mm; InventoryNet=338mm; AssetsCurrent=7298mm; CashAndCashEquivalentsAtCarryingValue=2625mm; AccountsReceivableNetCurrent=2533mm; InventoryNet=338mm; PropertyPlantAndEquipmentAndFinanceLeaseRightOfUseAssetAfterAccumulatedDepreciationAndAmortization=6024mm; FiniteLivedIntangibleAssetsNet=490mm; Goodwill=10935mm</t>
  </si>
  <si>
    <t>R129</t>
  </si>
  <si>
    <t>Assets=29418mm; CashAndCashEquivalentsAtCarryingValue=2975mm; AccountsReceivableNetCurrent=2518mm; InventoryNet=346mm; AssetsCurrent=7810mm; CashAndCashEquivalentsAtCarryingValue=2975mm; AccountsReceivableNetCurrent=2518mm; InventoryNet=346mm; PropertyPlantAndEquipmentAndFinanceLeaseRightOfUseAssetAfterAccumulatedDepreciationAndAmortization=6091mm; FiniteLivedIntangibleAssetsNet=462mm; Goodwill=11158mm</t>
  </si>
  <si>
    <t>S129</t>
  </si>
  <si>
    <t>Assets=29677mm; CashAndCashEquivalentsAtCarryingValue=2883mm; AccountsReceivableNetCurrent=2565mm; InventoryNet=348mm; AssetsCurrent=7849mm; CashAndCashEquivalentsAtCarryingValue=2883mm; AccountsReceivableNetCurrent=2565mm; InventoryNet=348mm; PropertyPlantAndEquipmentAndFinanceLeaseRightOfUseAssetAfterAccumulatedDepreciationAndAmortization=6315mm; FiniteLivedIntangibleAssetsNet=466mm; Goodwill=11198mm</t>
  </si>
  <si>
    <t>0000070318-26-000012; 0000070318-26-000026</t>
  </si>
  <si>
    <t>Grouped from EDGAR: Assets, Cash and Cash Equivalents At Carrying Value, Accounts Receivable net Current, Inventory net, Assets, Current, Property Plant and Equipment and Finance Lease Right of Use Asset After Accumulated Depreciation and Amortization, Finite Lived Intangible Assets net, Goodwill. Calculated from SEC total assets less current assets and separately modeled PP&amp;E, intangible assets, and goodwill.</t>
  </si>
  <si>
    <t>U129</t>
  </si>
  <si>
    <t>V129</t>
  </si>
  <si>
    <t>F134</t>
  </si>
  <si>
    <t>AccountsPayableCurrent=1192mm</t>
  </si>
  <si>
    <t>Grouped from EDGAR: Accounts Payable, Current.</t>
  </si>
  <si>
    <t>G134</t>
  </si>
  <si>
    <t>AccountsPayableCurrent=1246mm</t>
  </si>
  <si>
    <t>H134</t>
  </si>
  <si>
    <t>AccountsPayableCurrent=1202mm</t>
  </si>
  <si>
    <t>I134</t>
  </si>
  <si>
    <t>AccountsPayableCurrent=1408mm</t>
  </si>
  <si>
    <t>K134</t>
  </si>
  <si>
    <t>AccountsPayableCurrent=1335mm</t>
  </si>
  <si>
    <t>L134</t>
  </si>
  <si>
    <t>AccountsPayableCurrent=1270mm</t>
  </si>
  <si>
    <t>M134</t>
  </si>
  <si>
    <t>AccountsPayableCurrent=1265mm</t>
  </si>
  <si>
    <t>N134</t>
  </si>
  <si>
    <t>AccountsPayableCurrent=1294mm</t>
  </si>
  <si>
    <t>P134</t>
  </si>
  <si>
    <t>AccountsPayableCurrent=1327mm</t>
  </si>
  <si>
    <t>Q134</t>
  </si>
  <si>
    <t>AccountsPayableCurrent=1360mm</t>
  </si>
  <si>
    <t>R134</t>
  </si>
  <si>
    <t>AccountsPayableCurrent=1356mm</t>
  </si>
  <si>
    <t>S134</t>
  </si>
  <si>
    <t>Grouped from EDGAR: Accounts Payable Current.</t>
  </si>
  <si>
    <t>U134</t>
  </si>
  <si>
    <t>AccountsPayableCurrent=1339mm</t>
  </si>
  <si>
    <t>F135</t>
  </si>
  <si>
    <t>LiabilitiesCurrent=4219mm; AccountsPayableCurrent=1192mm; ContractWithCustomerLiabilityCurrent=76mm</t>
  </si>
  <si>
    <t>Grouped from EDGAR: Liabilities, Current, Accounts Payable, Current, Contract with Customer, Liability, Current. Derived from SEC current liabilities less separately modeled accounts payable and other current liabilities.</t>
  </si>
  <si>
    <t>G135</t>
  </si>
  <si>
    <t>LiabilitiesCurrent=4152mm; AccountsPayableCurrent=1246mm; ContractWithCustomerLiabilityCurrent=76mm</t>
  </si>
  <si>
    <t>H135</t>
  </si>
  <si>
    <t>LiabilitiesCurrent=4432mm; AccountsPayableCurrent=1202mm; ContractWithCustomerLiabilityCurrent=86mm</t>
  </si>
  <si>
    <t>I135</t>
  </si>
  <si>
    <t>LiabilitiesCurrent=4760mm; AccountsPayableCurrent=1408mm; ContractWithCustomerLiabilityCurrent=0mm</t>
  </si>
  <si>
    <t>K135</t>
  </si>
  <si>
    <t>LiabilitiesCurrent=5416mm; AccountsPayableCurrent=1335mm; OtherLiabilitiesCurrent=1868mm</t>
  </si>
  <si>
    <t>Grouped from EDGAR: Liabilities, Current, Accounts Payable, Current, Other Liabilities, Current. Derived from SEC current liabilities less separately modeled accounts payable and other current liabilities.</t>
  </si>
  <si>
    <t>L135</t>
  </si>
  <si>
    <t>LiabilitiesCurrent=5493mm; AccountsPayableCurrent=1270mm; OtherLiabilitiesCurrent=2175mm</t>
  </si>
  <si>
    <t>M135</t>
  </si>
  <si>
    <t>LiabilitiesCurrent=5538mm; AccountsPayableCurrent=1265mm; OtherLiabilitiesCurrent=1927mm</t>
  </si>
  <si>
    <t>N135</t>
  </si>
  <si>
    <t>LiabilitiesCurrent=4310mm; AccountsPayableCurrent=1294mm; ContractWithCustomerLiabilityCurrent=0mm</t>
  </si>
  <si>
    <t>0000070318-26-000012; 0000070318-25-000009</t>
  </si>
  <si>
    <t>P135</t>
  </si>
  <si>
    <t>LiabilitiesCurrent=4451mm; AccountsPayableCurrent=1327mm; OtherLiabilitiesCurrent=1649mm</t>
  </si>
  <si>
    <t>Q135</t>
  </si>
  <si>
    <t>LiabilitiesCurrent=4271mm; AccountsPayableCurrent=1360mm; OtherLiabilitiesCurrent=1574mm</t>
  </si>
  <si>
    <t>R135</t>
  </si>
  <si>
    <t>LiabilitiesCurrent=4560mm; AccountsPayableCurrent=1356mm; OtherLiabilitiesCurrent=1687mm</t>
  </si>
  <si>
    <t>S135</t>
  </si>
  <si>
    <t>LiabilitiesCurrent=4463mm; AccountsPayableCurrent=1360mm; OtherLiabilitiesCurrent=1809mm</t>
  </si>
  <si>
    <t>Grouped from EDGAR: Liabilities Current, Accounts Payable Current, Other Liabilities Current. Derived from SEC current liabilities less separately modeled accounts payable and other current liabilities.</t>
  </si>
  <si>
    <t>U135</t>
  </si>
  <si>
    <t>LiabilitiesCurrent=6152mm; AccountsPayableCurrent=1339mm; OtherLiabilitiesCurrent=3083mm</t>
  </si>
  <si>
    <t>F136</t>
  </si>
  <si>
    <t>G136</t>
  </si>
  <si>
    <t>H136</t>
  </si>
  <si>
    <t>I136</t>
  </si>
  <si>
    <t>K136</t>
  </si>
  <si>
    <t>L136</t>
  </si>
  <si>
    <t>M136</t>
  </si>
  <si>
    <t>N136</t>
  </si>
  <si>
    <t>P136</t>
  </si>
  <si>
    <t>Liabilities=20584mm; ShortTermBorrowings=0mm; AccountsPayableCurrent=1327mm; SecuritiesLoaned=0mm; LongTermDebtAndCapitalLeaseObligations=13082mm; DeferredTaxLiabilitiesNoncurrent=0mm; OtherLiabilitiesNoncurrent=1651mm</t>
  </si>
  <si>
    <t>Grouped from EDGAR: Liabilities, Short Term Borrowings, Accounts Payable, Current, Securities Loaned, Long-term Debt and Lease Obligation, Deferred Tax Liabilities Noncurrent, Other Liabilities, Noncurrent. Calculated from total liabilities less separately modeled borrowings, payables, securities loaned, debt, deferred taxes, and other non-current liabilities.</t>
  </si>
  <si>
    <t>Q136</t>
  </si>
  <si>
    <t>Liabilities=20397mm; ShortTermBorrowings=0mm; AccountsPayableCurrent=1360mm; SecuritiesLoaned=0mm; LongTermDebtAndCapitalLeaseObligations=13091mm; DeferredTaxLiabilitiesNoncurrent=0mm; OtherLiabilitiesNoncurrent=1635mm</t>
  </si>
  <si>
    <t>R136</t>
  </si>
  <si>
    <t>Liabilities=20718mm; ShortTermBorrowings=0mm; AccountsPayableCurrent=1356mm; SecuritiesLoaned=0mm; LongTermDebtAndCapitalLeaseObligations=13102mm; DeferredTaxLiabilitiesNoncurrent=0mm; OtherLiabilitiesNoncurrent=1600mm</t>
  </si>
  <si>
    <t>S136</t>
  </si>
  <si>
    <t>Liabilities=20704mm; ShortTermBorrowings=0mm; AccountsPayableCurrent=1360mm; SecuritiesLoaned=0mm; LongTermDebtAndCapitalLeaseObligationsIncludingCurrentMaturities=13265mm; DeferredTaxLiabilitiesNoncurrent=0mm; OtherLiabilitiesNoncurrent=1713mm</t>
  </si>
  <si>
    <t>Grouped from EDGAR: Liabilities, Short Term Borrowings, Accounts Payable Current, Securities Loaned, Long-term Debt and Lease Obligation, Including Current Maturities, Deferred Tax Liabilities Noncurrent, Other Liabilities Noncurrent. Calculated from total liabilities less separately modeled borrowings, payables, securities loaned, debt, deferred taxes, and other non-current liabilities.</t>
  </si>
  <si>
    <t>U136</t>
  </si>
  <si>
    <t>V136</t>
  </si>
  <si>
    <t>F140</t>
  </si>
  <si>
    <t>G140</t>
  </si>
  <si>
    <t>H140</t>
  </si>
  <si>
    <t>I140</t>
  </si>
  <si>
    <t>K140</t>
  </si>
  <si>
    <t>L140</t>
  </si>
  <si>
    <t>M140</t>
  </si>
  <si>
    <t>N140</t>
  </si>
  <si>
    <t>U140</t>
  </si>
  <si>
    <t>V140</t>
  </si>
  <si>
    <t>F142</t>
  </si>
  <si>
    <t>G142</t>
  </si>
  <si>
    <t>H142</t>
  </si>
  <si>
    <t>I142</t>
  </si>
  <si>
    <t>K142</t>
  </si>
  <si>
    <t>L142</t>
  </si>
  <si>
    <t>M142</t>
  </si>
  <si>
    <t>N142</t>
  </si>
  <si>
    <t>P142</t>
  </si>
  <si>
    <t>OtherLiabilitiesNoncurrent=1651mm</t>
  </si>
  <si>
    <t>Grouped from EDGAR: Other Liabilities, Noncurrent. Mapped to a direct SEC other non-current liability concept when reported.</t>
  </si>
  <si>
    <t>Q142</t>
  </si>
  <si>
    <t>OtherLiabilitiesNoncurrent=1635mm</t>
  </si>
  <si>
    <t>R142</t>
  </si>
  <si>
    <t>OtherLiabilitiesNoncurrent=1600mm</t>
  </si>
  <si>
    <t>S142</t>
  </si>
  <si>
    <t>OtherLiabilitiesNoncurrent=1713mm; OperatingLeaseLiabilityNoncurrent=1043mm</t>
  </si>
  <si>
    <t>Grouped from EDGAR: Other Liabilities Noncurrent, Operating Lease, Liability, Noncurrent. Mapped to a direct SEC other non-current liability concept when reported.</t>
  </si>
  <si>
    <t>U142</t>
  </si>
  <si>
    <t>V142</t>
  </si>
  <si>
    <t>F147</t>
  </si>
  <si>
    <t>StockholdersEquity=1233mm; RetainedEarningsAccumulatedDeficit=-660mm; TreasuryStockCommonValue=2710mm; AccumulatedOtherComprehensiveIncomeLossNetOfTax=-179mm</t>
  </si>
  <si>
    <t>Grouped from EDGAR: Stockholders' Equity Attributable to Parent, Retained Earnings (Accumulated Deficit), Treasury Stock, Common, Value, Accumulated Other Comprehensive Income (Loss), Net of Tax. Included stockholders' equity less retained earnings, treasury stock, and AOCI.</t>
  </si>
  <si>
    <t>G147</t>
  </si>
  <si>
    <t>StockholdersEquity=1343mm; RetainedEarningsAccumulatedDeficit=-537mm; TreasuryStockCommonValue=2750mm; AccumulatedOtherComprehensiveIncomeLossNetOfTax=-178mm</t>
  </si>
  <si>
    <t>H147</t>
  </si>
  <si>
    <t>StockholdersEquity=1464mm; RetainedEarningsAccumulatedDeficit=-436mm; TreasuryStockCommonValue=2750mm; AccumulatedOtherComprehensiveIncomeLossNetOfTax=-176mm</t>
  </si>
  <si>
    <t>I147</t>
  </si>
  <si>
    <t>StockholdersEquity=1608mm; RetainedEarningsAccumulatedDeficit=-192mm; TreasuryStockCommonValue=2861mm; AccumulatedOtherComprehensiveIncomeLossNetOfTax=-181mm</t>
  </si>
  <si>
    <t>K147</t>
  </si>
  <si>
    <t>StockholdersEquity=3453mm; RetainedEarningsAccumulatedDeficit=1959mm; TreasuryStockCommonValue=3141mm; AccumulatedOtherComprehensiveIncomeLossNetOfTax=-179mm</t>
  </si>
  <si>
    <t>L147</t>
  </si>
  <si>
    <t>StockholdersEquity=3475mm; RetainedEarningsAccumulatedDeficit=2218mm; TreasuryStockCommonValue=3414mm; AccumulatedOtherComprehensiveIncomeLossNetOfTax=-177mm</t>
  </si>
  <si>
    <t>M147</t>
  </si>
  <si>
    <t>StockholdersEquity=3834mm; RetainedEarningsAccumulatedDeficit=2690mm; TreasuryStockCommonValue=3538mm; AccumulatedOtherComprehensiveIncomeLossNetOfTax=-175mm</t>
  </si>
  <si>
    <t>N147</t>
  </si>
  <si>
    <t>StockholdersEquity=4171mm; RetainedEarningsAccumulatedDeficit=3008mm; TreasuryStockCommonValue=3538mm; AccumulatedOtherComprehensiveIncomeLossNetOfTax=-180mm</t>
  </si>
  <si>
    <t>P147</t>
  </si>
  <si>
    <t>StockholdersEquity=4181mm; RetainedEarningsAccumulatedDeficit=3414mm; TreasuryStockCommonValue=3889mm; AccumulatedOtherComprehensiveIncomeLossNetOfTax=-178mm</t>
  </si>
  <si>
    <t>Q147</t>
  </si>
  <si>
    <t>StockholdersEquity=3749mm; RetainedEarningsAccumulatedDeficit=3702mm; TreasuryStockCommonValue=4642mm; AccumulatedOtherComprehensiveIncomeLossNetOfTax=-177mm</t>
  </si>
  <si>
    <t>R147</t>
  </si>
  <si>
    <t>StockholdersEquity=4014mm; RetainedEarningsAccumulatedDeficit=4044mm; TreasuryStockCommonValue=4736mm; AccumulatedOtherComprehensiveIncomeLossNetOfTax=-174mm</t>
  </si>
  <si>
    <t>S147</t>
  </si>
  <si>
    <t>StockholdersEquity=4220mm; RetainedEarningsAccumulatedDeficit=4415mm; TreasuryStockCommonValue=4936mm; AccumulatedOtherComprehensiveIncomeLossNetOfTax=-181mm</t>
  </si>
  <si>
    <t>Grouped from EDGAR: Stockholders Equity, Retained Earnings Accumulated Deficit, Treasury Stock Common Value, Accumulated Other Comprehensive income loss net of Tax. Included stockholders' equity less retained earnings, treasury stock, and AOCI.</t>
  </si>
  <si>
    <t>U147</t>
  </si>
  <si>
    <t>StockholdersEquity=4814mm; RetainedEarningsAccumulatedDeficit=5117mm; TreasuryStockCommonValue=5256mm; AccumulatedOtherComprehensiveIncomeLossNetOfTax=-179mm</t>
  </si>
  <si>
    <t>F148</t>
  </si>
  <si>
    <t>RetainedEarningsAccumulatedDeficit=-660mm</t>
  </si>
  <si>
    <t>G148</t>
  </si>
  <si>
    <t>RetainedEarningsAccumulatedDeficit=-537mm</t>
  </si>
  <si>
    <t>H148</t>
  </si>
  <si>
    <t>RetainedEarningsAccumulatedDeficit=-436mm</t>
  </si>
  <si>
    <t>I148</t>
  </si>
  <si>
    <t>RetainedEarningsAccumulatedDeficit=-192mm</t>
  </si>
  <si>
    <t>K148</t>
  </si>
  <si>
    <t>RetainedEarningsAccumulatedDeficit=1959mm</t>
  </si>
  <si>
    <t>L148</t>
  </si>
  <si>
    <t>RetainedEarningsAccumulatedDeficit=2218mm</t>
  </si>
  <si>
    <t>M148</t>
  </si>
  <si>
    <t>RetainedEarningsAccumulatedDeficit=2690mm</t>
  </si>
  <si>
    <t>N148</t>
  </si>
  <si>
    <t>RetainedEarningsAccumulatedDeficit=3008mm</t>
  </si>
  <si>
    <t>P148</t>
  </si>
  <si>
    <t>RetainedEarningsAccumulatedDeficit=3414mm</t>
  </si>
  <si>
    <t>Q148</t>
  </si>
  <si>
    <t>RetainedEarningsAccumulatedDeficit=3702mm</t>
  </si>
  <si>
    <t>R148</t>
  </si>
  <si>
    <t>RetainedEarningsAccumulatedDeficit=4044mm</t>
  </si>
  <si>
    <t>S148</t>
  </si>
  <si>
    <t>RetainedEarningsAccumulatedDeficit=4415mm</t>
  </si>
  <si>
    <t>U148</t>
  </si>
  <si>
    <t>RetainedEarningsAccumulatedDeficit=5117mm</t>
  </si>
  <si>
    <t>F149</t>
  </si>
  <si>
    <t>TreasuryStockCommonValue=2710mm</t>
  </si>
  <si>
    <t>Grouped from EDGAR: Treasury Stock, Common, Value.</t>
  </si>
  <si>
    <t>G149</t>
  </si>
  <si>
    <t>TreasuryStockCommonValue=2750mm</t>
  </si>
  <si>
    <t>H149</t>
  </si>
  <si>
    <t>I149</t>
  </si>
  <si>
    <t>TreasuryStockCommonValue=2861mm</t>
  </si>
  <si>
    <t>K149</t>
  </si>
  <si>
    <t>TreasuryStockCommonValue=3141mm</t>
  </si>
  <si>
    <t>L149</t>
  </si>
  <si>
    <t>TreasuryStockCommonValue=3414mm</t>
  </si>
  <si>
    <t>M149</t>
  </si>
  <si>
    <t>TreasuryStockCommonValue=3538mm</t>
  </si>
  <si>
    <t>N149</t>
  </si>
  <si>
    <t>P149</t>
  </si>
  <si>
    <t>TreasuryStockCommonValue=3889mm</t>
  </si>
  <si>
    <t>Q149</t>
  </si>
  <si>
    <t>TreasuryStockCommonValue=4642mm</t>
  </si>
  <si>
    <t>R149</t>
  </si>
  <si>
    <t>TreasuryStockCommonValue=4736mm</t>
  </si>
  <si>
    <t>S149</t>
  </si>
  <si>
    <t>TreasuryStockCommonValue=4936mm</t>
  </si>
  <si>
    <t>Grouped from EDGAR: Treasury Stock Common Value.</t>
  </si>
  <si>
    <t>U149</t>
  </si>
  <si>
    <t>TreasuryStockCommonValue=5256mm</t>
  </si>
  <si>
    <t>V149</t>
  </si>
  <si>
    <t>Grouped from EDGAR: Treasury Stock, Common, Value carried forward from 1Q26 because the instant balance was not separately reported for 2Q26.. Treasury Stock, Common, Value carried forward from 1Q26 because the instant balance was not separately reported for 2Q26.</t>
  </si>
  <si>
    <t>F150</t>
  </si>
  <si>
    <t>AccumulatedOtherComprehensiveIncomeLossNetOfTax=-179mm</t>
  </si>
  <si>
    <t>G150</t>
  </si>
  <si>
    <t>AccumulatedOtherComprehensiveIncomeLossNetOfTax=-178mm</t>
  </si>
  <si>
    <t>H150</t>
  </si>
  <si>
    <t>AccumulatedOtherComprehensiveIncomeLossNetOfTax=-176mm</t>
  </si>
  <si>
    <t>I150</t>
  </si>
  <si>
    <t>AccumulatedOtherComprehensiveIncomeLossNetOfTax=-181mm</t>
  </si>
  <si>
    <t>K150</t>
  </si>
  <si>
    <t>L150</t>
  </si>
  <si>
    <t>AccumulatedOtherComprehensiveIncomeLossNetOfTax=-177mm</t>
  </si>
  <si>
    <t>M150</t>
  </si>
  <si>
    <t>AccumulatedOtherComprehensiveIncomeLossNetOfTax=-175mm</t>
  </si>
  <si>
    <t>N150</t>
  </si>
  <si>
    <t>AccumulatedOtherComprehensiveIncomeLossNetOfTax=-180mm</t>
  </si>
  <si>
    <t>P150</t>
  </si>
  <si>
    <t>Q150</t>
  </si>
  <si>
    <t>R150</t>
  </si>
  <si>
    <t>AccumulatedOtherComprehensiveIncomeLossNetOfTax=-174mm</t>
  </si>
  <si>
    <t>S150</t>
  </si>
  <si>
    <t>U150</t>
  </si>
  <si>
    <t>F153</t>
  </si>
  <si>
    <t>MinorityInterest=1347mm</t>
  </si>
  <si>
    <t>G153</t>
  </si>
  <si>
    <t>MinorityInterest=1381mm</t>
  </si>
  <si>
    <t>H153</t>
  </si>
  <si>
    <t>MinorityInterest=1414mm</t>
  </si>
  <si>
    <t>I153</t>
  </si>
  <si>
    <t>MinorityInterest=1509mm</t>
  </si>
  <si>
    <t>K153</t>
  </si>
  <si>
    <t>MinorityInterest=1490mm</t>
  </si>
  <si>
    <t>L153</t>
  </si>
  <si>
    <t>MinorityInterest=1581mm</t>
  </si>
  <si>
    <t>M153</t>
  </si>
  <si>
    <t>MinorityInterest=1592mm</t>
  </si>
  <si>
    <t>N153</t>
  </si>
  <si>
    <t>MinorityInterest=1649mm</t>
  </si>
  <si>
    <t>P153</t>
  </si>
  <si>
    <t>MinorityInterest=1696mm</t>
  </si>
  <si>
    <t>Q153</t>
  </si>
  <si>
    <t>MinorityInterest=1727mm</t>
  </si>
  <si>
    <t>R153</t>
  </si>
  <si>
    <t>MinorityInterest=1769mm</t>
  </si>
  <si>
    <t>S153</t>
  </si>
  <si>
    <t>MinorityInterest=1797mm</t>
  </si>
  <si>
    <t>U153</t>
  </si>
  <si>
    <t>MinorityInterest=1899mm</t>
  </si>
  <si>
    <t>F246</t>
  </si>
  <si>
    <t>ShareBasedCompensation=14mm</t>
  </si>
  <si>
    <t>support</t>
  </si>
  <si>
    <t>G246</t>
  </si>
  <si>
    <t>ShareBasedCompensation</t>
  </si>
  <si>
    <t>H246</t>
  </si>
  <si>
    <t>I246</t>
  </si>
  <si>
    <t>ShareBasedCompensation=18mm</t>
  </si>
  <si>
    <t>Quarterly value was derived from Share-based Payment Arrangement, Noncash Expense less 1Q23, 2Q23, 3Q23.</t>
  </si>
  <si>
    <t>K246</t>
  </si>
  <si>
    <t>ShareBasedCompensation=17mm</t>
  </si>
  <si>
    <t>L246</t>
  </si>
  <si>
    <t>M246</t>
  </si>
  <si>
    <t>ShareBasedCompensation=16mm</t>
  </si>
  <si>
    <t>Quarterly value was derived from Share-based Payment Arrangement, Noncash Expense less 1Q24, 2Q24.</t>
  </si>
  <si>
    <t>N246</t>
  </si>
  <si>
    <t>P246</t>
  </si>
  <si>
    <t>ShareBasedCompensation=21mm</t>
  </si>
  <si>
    <t>Q246</t>
  </si>
  <si>
    <t>ShareBasedCompensation=20mm</t>
  </si>
  <si>
    <t>Quarterly value was derived from Share-based Payment Arrangement, Noncash Expense less 1Q25.</t>
  </si>
  <si>
    <t>R246</t>
  </si>
  <si>
    <t>ShareBasedCompensation=38mm</t>
  </si>
  <si>
    <t>Quarterly value was derived from Share-based Payment Arrangement, Noncash Expense less 1Q25, 2Q25.</t>
  </si>
  <si>
    <t>S246</t>
  </si>
  <si>
    <t>U246</t>
  </si>
  <si>
    <t>ShareBasedCompensation=25mm</t>
  </si>
  <si>
    <t>V246</t>
  </si>
  <si>
    <t>F252</t>
  </si>
  <si>
    <t>G252</t>
  </si>
  <si>
    <t>H252</t>
  </si>
  <si>
    <t>I252</t>
  </si>
  <si>
    <t>K252</t>
  </si>
  <si>
    <t>L252</t>
  </si>
  <si>
    <t>M252</t>
  </si>
  <si>
    <t>N252</t>
  </si>
  <si>
    <t>P252</t>
  </si>
  <si>
    <t>Q252</t>
  </si>
  <si>
    <t>R252</t>
  </si>
  <si>
    <t>S252</t>
  </si>
  <si>
    <t>U252</t>
  </si>
  <si>
    <t>V252</t>
  </si>
  <si>
    <t>V254</t>
  </si>
  <si>
    <t>PaymentsOfDividends; PaymentsOfDividendsCommonStock</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</si>
  <si>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</si>
  <si>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</si>
  <si>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</si>
  <si>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</si>
  <si>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</si>
  <si>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</si>
  <si>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</si>
  <si>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</si>
  <si>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</si>
  <si>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</si>
  <si>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</si>
  <si>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</si>
  <si>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</si>
  <si>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</si>
  <si>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</si>
  <si>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</si>
  <si>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</si>
  <si>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</si>
  <si>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</si>
  <si>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</si>
  <si>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</si>
  <si>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</si>
  <si>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</si>
  <si>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</si>
  <si>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</si>
  <si>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</si>
  <si>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</si>
  <si>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</si>
  <si>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</si>
  <si>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</si>
  <si>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</si>
  <si>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</si>
  <si>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</si>
  <si>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</si>
  <si>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</si>
  <si>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</si>
  <si>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</si>
  <si>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</si>
  <si>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</si>
  <si>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</si>
  <si>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</si>
  <si>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</si>
  <si>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</si>
  <si>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</si>
  <si>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needs_review</t>
  </si>
  <si>
    <t>Needs review: Segment Analysis row was not filled because the template label is blank, generic, or does not confidently match an EDGAR reportable segment.</t>
  </si>
  <si>
    <t>G8</t>
  </si>
  <si>
    <t>H8</t>
  </si>
  <si>
    <t>I8</t>
  </si>
  <si>
    <t>K8</t>
  </si>
  <si>
    <t>L8</t>
  </si>
  <si>
    <t>M8</t>
  </si>
  <si>
    <t>N8</t>
  </si>
  <si>
    <t>P8</t>
  </si>
  <si>
    <t>Q8</t>
  </si>
  <si>
    <t>R8</t>
  </si>
  <si>
    <t>S8</t>
  </si>
  <si>
    <t>U8</t>
  </si>
  <si>
    <t>V8</t>
  </si>
  <si>
    <t>F34</t>
  </si>
  <si>
    <t>G34</t>
  </si>
  <si>
    <t>H34</t>
  </si>
  <si>
    <t>I34</t>
  </si>
  <si>
    <t>K34</t>
  </si>
  <si>
    <t>L34</t>
  </si>
  <si>
    <t>M34</t>
  </si>
  <si>
    <t>N34</t>
  </si>
  <si>
    <t>P34</t>
  </si>
  <si>
    <t>Q34</t>
  </si>
  <si>
    <t>R34</t>
  </si>
  <si>
    <t>S34</t>
  </si>
  <si>
    <t>U34</t>
  </si>
  <si>
    <t>V34</t>
  </si>
  <si>
    <t>F52</t>
  </si>
  <si>
    <t>G52</t>
  </si>
  <si>
    <t>H52</t>
  </si>
  <si>
    <t>I52</t>
  </si>
  <si>
    <t>K52</t>
  </si>
  <si>
    <t>L52</t>
  </si>
  <si>
    <t>M52</t>
  </si>
  <si>
    <t>N52</t>
  </si>
  <si>
    <t>P52</t>
  </si>
  <si>
    <t>Q52</t>
  </si>
  <si>
    <t>R52</t>
  </si>
  <si>
    <t>S52</t>
  </si>
  <si>
    <t>U52</t>
  </si>
  <si>
    <t>V52</t>
  </si>
  <si>
    <t>Home Improvement Retail Revenue</t>
  </si>
  <si>
    <t>calculated</t>
  </si>
  <si>
    <t>Revenues, RevenueFromContractWithCustomerExcludingAssessedTax, SalesRevenueNet, NetSales, SalesRevenueGoodsNet, SalesRevenueServicesNet, OperatingLeasesIncomeStatementLeaseRevenue, RealEstateRevenueNet</t>
  </si>
  <si>
    <t>residual</t>
  </si>
  <si>
    <t>medium</t>
  </si>
  <si>
    <t>OK!</t>
  </si>
  <si>
    <t>Calculated as the residual needed for Segment Analysis Revenue rows to tie to EDGAR consolidated revenue.</t>
  </si>
  <si>
    <t>Home Improvement Retail Operating Income</t>
  </si>
  <si>
    <t>OperatingIncomeLoss, IncomeLossFromContinuingOperationsBeforeIncomeTaxesExtraordinaryItemsNoncontrollingInterest</t>
  </si>
  <si>
    <t>Calculated as the residual needed for Segment Analysis Operating Income rows to tie to EDGAR consolidated operating income.</t>
  </si>
  <si>
    <t>F35</t>
  </si>
  <si>
    <t>Calculated as the residual needed for the Income Statement EBIT formula to tie to EDGAR pre-tax operating income.</t>
  </si>
  <si>
    <t>G35</t>
  </si>
  <si>
    <t>H35</t>
  </si>
  <si>
    <t>I35</t>
  </si>
  <si>
    <t>K35</t>
  </si>
  <si>
    <t>L35</t>
  </si>
  <si>
    <t>M35</t>
  </si>
  <si>
    <t>N35</t>
  </si>
  <si>
    <t>P35</t>
  </si>
  <si>
    <t>Q35</t>
  </si>
  <si>
    <t>R35</t>
  </si>
  <si>
    <t>S35</t>
  </si>
  <si>
    <t>U35</t>
  </si>
  <si>
    <t>IncomeLossFromContinuingOperationsIncludingPortionAttributableToNoncontrollingInterest, NetIncomeLoss</t>
  </si>
  <si>
    <t>Calculated as the residual needed for the model's net income formula to tie to EDGAR net income.</t>
  </si>
  <si>
    <t>Calculated as the residual needed for balance-sheet total assets to tie to EDGAR.</t>
  </si>
  <si>
    <t>Calculated as the residual needed for balance-sheet total liabilities to tie to EDGAR.</t>
  </si>
  <si>
    <t>Calculated as the residual needed for balance-sheet total liabilities plus shareholders' equity to tie to EDGAR.</t>
  </si>
  <si>
    <t>Balance Sheet Check residual</t>
  </si>
  <si>
    <t>Calculated as the residual needed for the Balance Sheet Check to tie to zero using EDGAR-sourced mapped balances.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</si>
</sst>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0.0%_);(#,##0.0%_)"/>
    <numFmt numFmtId="171" formatCode="#,##0.0_);(#,##0.0)"/>
    <numFmt numFmtId="172" formatCode="_(* #,##0.00_);_(* (#,##0.00);_(* &quot;-&quot;??_);_(@_)"/>
    <numFmt numFmtId="173" formatCode="0.0%"/>
    <numFmt numFmtId="174" formatCode="yyyy&quot;A&quot;"/>
    <numFmt numFmtId="175" formatCode="yyyy&quot;E&quot;"/>
    <numFmt numFmtId="176" formatCode="0.0x_);(0.0x)"/>
    <numFmt numFmtId="177" formatCode="&quot;$&quot;#,##0.00"/>
    <numFmt numFmtId="178" formatCode="0.0&quot;x&quot;"/>
    <numFmt numFmtId="179" formatCode="_([$$-409]* #,##0_);_([$$-409]* (#,##0);_([$$-409]* &quot;-&quot;??_);_(@_)"/>
    <numFmt numFmtId="180" formatCode="_(&quot;$&quot;* #,##0.00_);_(&quot;$&quot;* (#,##0.00);_(&quot;$&quot;* &quot;-&quot;??_);_(@_)"/>
    <numFmt numFmtId="181" formatCode="_(&quot;$&quot;* #,##0.0_);_(&quot;$&quot;* (#,##0.0);_(&quot;$&quot;* &quot;-&quot;?_);_(@_)"/>
    <numFmt numFmtId="182" formatCode="_(* #,##0.00_);_(* (#,##0.00);_(* &quot;-&quot;?_);_(@_)"/>
    <numFmt numFmtId="183" formatCode="&quot;Check!&quot;;&quot;Check!&quot;;&quot;OK!&quot;"/>
    <numFmt numFmtId="184" formatCode="&quot;$&quot;#,##0.0_);(&quot;$&quot;#,##0.0)"/>
    <numFmt numFmtId="185" formatCode="0.0%;(0.0%)"/>
    <numFmt numFmtId="186" formatCode="_(* #,##0.0_);_(* (#,##0.0);_(* &quot;-&quot;??_);_(@_)"/>
    <numFmt numFmtId="187" formatCode="0.00x;(0.00x)"/>
    <numFmt numFmtId="188" formatCode="0.0x;(0.0x)"/>
    <numFmt numFmtId="189" formatCode="0.0;(0.0)"/>
    <numFmt numFmtId="190" formatCode="#.#;(#.#)"/>
    <numFmt numFmtId="191" formatCode="#,##0.0;(#,##0.0)"/>
    <numFmt numFmtId="192" formatCode="&quot;$&quot;#,##0.00_);(&quot;$&quot;#,##0.00);&quot;OK!&quot;"/>
    <numFmt numFmtId="193" formatCode="#.#x;(#.#x)"/>
    <numFmt numFmtId="194" formatCode="#,##0.000000_);(#,##0.000000)"/>
    <numFmt numFmtId="195" formatCode="&quot;$&quot;#,##0.00_);[Red](&quot;$&quot;#,##0.00)"/>
    <numFmt numFmtId="196" formatCode="0.00%;(0.00%)"/>
    <numFmt numFmtId="197" formatCode="&quot;$&quot;#,##0.0"/>
    <numFmt numFmtId="198" formatCode="#,##0.0%_);(#,##0.0%);_(@_)"/>
    <numFmt numFmtId="199" formatCode="#,##0.0%_);(#,##0.0)%"/>
    <numFmt numFmtId="200" formatCode="[$-409]d-mmm"/>
    <numFmt numFmtId="201" formatCode="0.0x"/>
    <numFmt numFmtId="202" formatCode="0.00_);(0.00)"/>
    <numFmt numFmtId="203" formatCode="#,##0.0x_);(#,##0.0x_)"/>
    <numFmt numFmtId="204" formatCode="_(0.0%_);(0.0%);_(&quot;-&quot;_)_%"/>
    <numFmt numFmtId="205" formatCode="0.0"/>
    <numFmt numFmtId="206" formatCode="&quot;&quot;"/>
    <numFmt numFmtId="207" formatCode="#,##0.00%_);(#,##0.00%)"/>
    <numFmt numFmtId="208" formatCode="&quot;$&quot;#,##0"/>
    <numFmt numFmtId="209" formatCode="#,##0.00%_);(#,##0.00%_)"/>
    <numFmt numFmtId="210" formatCode="0.0 x"/>
    <numFmt numFmtId="211" formatCode="#,##0.0%_);(#,##0.0%);* &quot;-&quot;;_(@_)"/>
    <numFmt numFmtId="212" formatCode="0.00%_);(0.00%)"/>
    <numFmt numFmtId="213" formatCode="_(&quot;$&quot;* #,##0.0_);_(&quot;$&quot;* (#,##0.0);_(&quot;$&quot;* &quot;-&quot;??_);_(@_)"/>
    <numFmt numFmtId="214" formatCode="#,##0.0%_);(#,##0.0%);&quot;-&quot;"/>
    <numFmt numFmtId="215" formatCode="_(&quot;$&quot;* #,##0_);_(&quot;$&quot;* (#,##0);_(&quot;$&quot;* &quot;-&quot;??_);_(@_)"/>
    <numFmt numFmtId="216" formatCode="yyyy"/>
    <numFmt numFmtId="217"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4"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69" fontId="16" fillId="5" borderId="6" xfId="0" applyNumberFormat="1" applyFont="1" applyFill="1" applyBorder="1" applyAlignment="1">
      <alignment horizontal="center"/>
    </xf>
    <xf numFmtId="170" fontId="14"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2" fontId="7" fillId="0" borderId="0" xfId="0" applyNumberFormat="1" applyFont="1"/>
    <xf numFmtId="172" fontId="7" fillId="0" borderId="0" xfId="0" applyNumberFormat="1" applyFont="1" applyAlignment="1">
      <alignment horizontal="center"/>
    </xf>
    <xf numFmtId="172"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2" fontId="7" fillId="3" borderId="15" xfId="0" applyNumberFormat="1" applyFont="1" applyFill="1" applyBorder="1"/>
    <xf numFmtId="172" fontId="7" fillId="3" borderId="16" xfId="0" applyNumberFormat="1" applyFont="1" applyFill="1" applyBorder="1" applyAlignment="1">
      <alignment horizontal="center"/>
    </xf>
    <xf numFmtId="172" fontId="7" fillId="3" borderId="17" xfId="0" applyNumberFormat="1" applyFont="1" applyFill="1" applyBorder="1" applyAlignment="1">
      <alignment horizontal="center"/>
    </xf>
    <xf numFmtId="0" fontId="7" fillId="0" borderId="18" xfId="0" applyFont="1" applyBorder="1" applyAlignment="1">
      <alignment horizontal="center"/>
    </xf>
    <xf numFmtId="172" fontId="7" fillId="0" borderId="20" xfId="0" applyNumberFormat="1" applyFont="1" applyBorder="1"/>
    <xf numFmtId="172"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2"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2" fontId="7" fillId="0" borderId="23" xfId="0" applyNumberFormat="1" applyFont="1" applyBorder="1"/>
    <xf numFmtId="172"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3"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0" fontId="24" fillId="0" borderId="34" xfId="0" applyNumberFormat="1" applyFont="1" applyBorder="1" applyAlignment="1">
      <alignment horizontal="center"/>
    </xf>
    <xf numFmtId="169" fontId="7" fillId="0" borderId="0" xfId="0" applyNumberFormat="1" applyFont="1"/>
    <xf numFmtId="169" fontId="7" fillId="0" borderId="32" xfId="0" applyNumberFormat="1" applyFont="1" applyBorder="1"/>
    <xf numFmtId="169"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0"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4" fontId="13" fillId="0" borderId="0" xfId="0" applyNumberFormat="1" applyFont="1" applyAlignment="1">
      <alignment horizontal="center"/>
    </xf>
    <xf numFmtId="175"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6" fontId="7" fillId="0" borderId="0" xfId="0" applyNumberFormat="1" applyFont="1" applyAlignment="1">
      <alignment horizontal="right"/>
    </xf>
    <xf numFmtId="176" fontId="7" fillId="0" borderId="32" xfId="0" applyNumberFormat="1" applyFont="1" applyBorder="1" applyAlignment="1">
      <alignment horizontal="right"/>
    </xf>
    <xf numFmtId="176" fontId="7" fillId="0" borderId="33" xfId="0" applyNumberFormat="1" applyFont="1" applyBorder="1" applyAlignment="1">
      <alignment horizontal="right"/>
    </xf>
    <xf numFmtId="176" fontId="7" fillId="0" borderId="33" xfId="0" applyNumberFormat="1" applyFont="1" applyBorder="1"/>
    <xf numFmtId="176" fontId="7" fillId="0" borderId="0" xfId="0" applyNumberFormat="1" applyFont="1"/>
    <xf numFmtId="176" fontId="7" fillId="0" borderId="32" xfId="0" applyNumberFormat="1" applyFont="1" applyBorder="1"/>
    <xf numFmtId="171" fontId="7" fillId="0" borderId="0" xfId="0" applyNumberFormat="1" applyFont="1"/>
    <xf numFmtId="171" fontId="7" fillId="0" borderId="32" xfId="0" applyNumberFormat="1" applyFont="1" applyBorder="1"/>
    <xf numFmtId="171"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7"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78" fontId="7" fillId="0" borderId="21" xfId="0" applyNumberFormat="1" applyFont="1" applyBorder="1" applyAlignment="1">
      <alignment horizontal="center"/>
    </xf>
    <xf numFmtId="178" fontId="7" fillId="0" borderId="0" xfId="0" applyNumberFormat="1" applyFont="1" applyAlignment="1">
      <alignment horizontal="center"/>
    </xf>
    <xf numFmtId="179" fontId="7" fillId="0" borderId="0" xfId="0" applyNumberFormat="1" applyFont="1"/>
    <xf numFmtId="173"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6" fontId="24" fillId="0" borderId="31" xfId="0" applyNumberFormat="1" applyFont="1" applyBorder="1" applyAlignment="1">
      <alignment horizontal="center"/>
    </xf>
    <xf numFmtId="176"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1" fontId="24" fillId="0" borderId="34" xfId="0" applyNumberFormat="1" applyFont="1" applyBorder="1" applyAlignment="1">
      <alignment horizontal="center"/>
    </xf>
    <xf numFmtId="171"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0" fontId="7" fillId="0" borderId="0" xfId="0" applyNumberFormat="1" applyFont="1"/>
    <xf numFmtId="181" fontId="7" fillId="0" borderId="0" xfId="0" applyNumberFormat="1" applyFont="1"/>
    <xf numFmtId="39" fontId="14" fillId="0" borderId="0" xfId="0" applyNumberFormat="1" applyFont="1"/>
    <xf numFmtId="182" fontId="7" fillId="0" borderId="0" xfId="0" applyNumberFormat="1" applyFont="1"/>
    <xf numFmtId="182" fontId="14" fillId="0" borderId="0" xfId="0" applyNumberFormat="1" applyFont="1"/>
    <xf numFmtId="0" fontId="7" fillId="0" borderId="26" xfId="0" applyFont="1" applyBorder="1"/>
    <xf numFmtId="169" fontId="7" fillId="0" borderId="29" xfId="0" applyNumberFormat="1" applyFont="1" applyBorder="1"/>
    <xf numFmtId="169"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3"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4" fontId="14" fillId="12" borderId="0" xfId="0" applyNumberFormat="1" applyFont="1" applyFill="1"/>
    <xf numFmtId="184" fontId="14" fillId="0" borderId="0" xfId="0" applyNumberFormat="1" applyFont="1"/>
    <xf numFmtId="184" fontId="7" fillId="13" borderId="0" xfId="0" applyNumberFormat="1" applyFont="1" applyFill="1"/>
    <xf numFmtId="184" fontId="7" fillId="0" borderId="0" xfId="0" applyNumberFormat="1" applyFont="1"/>
    <xf numFmtId="0" fontId="7" fillId="0" borderId="45" xfId="0" applyFont="1" applyBorder="1"/>
    <xf numFmtId="184" fontId="14" fillId="12" borderId="0" xfId="0" applyNumberFormat="1" applyFont="1" applyFill="1" applyAlignment="1">
      <alignment horizontal="right"/>
    </xf>
    <xf numFmtId="184" fontId="14" fillId="0" borderId="0" xfId="0" applyNumberFormat="1" applyFont="1" applyAlignment="1">
      <alignment horizontal="right"/>
    </xf>
    <xf numFmtId="184" fontId="7" fillId="13" borderId="0" xfId="0" applyNumberFormat="1" applyFont="1" applyFill="1" applyAlignment="1">
      <alignment horizontal="right"/>
    </xf>
    <xf numFmtId="184" fontId="7" fillId="0" borderId="0" xfId="0" applyNumberFormat="1" applyFont="1" applyAlignment="1">
      <alignment horizontal="right"/>
    </xf>
    <xf numFmtId="185" fontId="24" fillId="0" borderId="8" xfId="0" applyNumberFormat="1" applyFont="1" applyBorder="1" applyAlignment="1">
      <alignment horizontal="center"/>
    </xf>
    <xf numFmtId="185"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3" fontId="38" fillId="12" borderId="0" xfId="0" applyNumberFormat="1" applyFont="1" applyFill="1" applyAlignment="1">
      <alignment horizontal="right"/>
    </xf>
    <xf numFmtId="185" fontId="38" fillId="12" borderId="0" xfId="0" applyNumberFormat="1" applyFont="1" applyFill="1" applyAlignment="1">
      <alignment horizontal="right"/>
    </xf>
    <xf numFmtId="185" fontId="38" fillId="0" borderId="0" xfId="0" applyNumberFormat="1" applyFont="1" applyAlignment="1">
      <alignment horizontal="right"/>
    </xf>
    <xf numFmtId="185" fontId="36" fillId="13" borderId="0" xfId="0" applyNumberFormat="1" applyFont="1" applyFill="1" applyAlignment="1">
      <alignment horizontal="right"/>
    </xf>
    <xf numFmtId="185"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3" fontId="40" fillId="12" borderId="0" xfId="0" applyNumberFormat="1" applyFont="1" applyFill="1" applyAlignment="1">
      <alignment horizontal="right"/>
    </xf>
    <xf numFmtId="185" fontId="24" fillId="13" borderId="0" xfId="0" applyNumberFormat="1" applyFont="1" applyFill="1" applyAlignment="1">
      <alignment horizontal="right"/>
    </xf>
    <xf numFmtId="185" fontId="24" fillId="0" borderId="0" xfId="0" applyNumberFormat="1" applyFont="1" applyAlignment="1">
      <alignment horizontal="right"/>
    </xf>
    <xf numFmtId="0" fontId="24" fillId="0" borderId="8" xfId="0" applyFont="1" applyBorder="1"/>
    <xf numFmtId="0" fontId="24" fillId="0" borderId="9" xfId="0" applyFont="1" applyBorder="1"/>
    <xf numFmtId="185" fontId="40" fillId="12" borderId="0" xfId="0" applyNumberFormat="1" applyFont="1" applyFill="1" applyAlignment="1">
      <alignment horizontal="right"/>
    </xf>
    <xf numFmtId="185"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4" fontId="7" fillId="12" borderId="0" xfId="0" applyNumberFormat="1" applyFont="1" applyFill="1" applyAlignment="1">
      <alignment horizontal="right"/>
    </xf>
    <xf numFmtId="185" fontId="24" fillId="12" borderId="0" xfId="0" applyNumberFormat="1" applyFont="1" applyFill="1" applyAlignment="1">
      <alignment horizontal="right"/>
    </xf>
    <xf numFmtId="0" fontId="7" fillId="12" borderId="0" xfId="0" applyFont="1" applyFill="1" applyAlignment="1">
      <alignment horizontal="right"/>
    </xf>
    <xf numFmtId="185" fontId="41" fillId="13" borderId="0" xfId="0" applyNumberFormat="1" applyFont="1" applyFill="1" applyAlignment="1">
      <alignment horizontal="right"/>
    </xf>
    <xf numFmtId="185"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6" fontId="7" fillId="12" borderId="0" xfId="0" applyNumberFormat="1" applyFont="1" applyFill="1" applyAlignment="1">
      <alignment horizontal="right"/>
    </xf>
    <xf numFmtId="186" fontId="7" fillId="0" borderId="0" xfId="0" applyNumberFormat="1" applyFont="1" applyAlignment="1">
      <alignment horizontal="right"/>
    </xf>
    <xf numFmtId="186" fontId="7" fillId="13" borderId="0" xfId="0" applyNumberFormat="1" applyFont="1" applyFill="1" applyAlignment="1">
      <alignment horizontal="right"/>
    </xf>
    <xf numFmtId="186" fontId="7" fillId="12" borderId="0" xfId="0" applyNumberFormat="1" applyFont="1" applyFill="1"/>
    <xf numFmtId="186" fontId="7" fillId="0" borderId="0" xfId="0" applyNumberFormat="1" applyFont="1"/>
    <xf numFmtId="186" fontId="7" fillId="13" borderId="0" xfId="0" applyNumberFormat="1" applyFont="1" applyFill="1"/>
    <xf numFmtId="186" fontId="16" fillId="12" borderId="0" xfId="0" applyNumberFormat="1" applyFont="1" applyFill="1" applyAlignment="1">
      <alignment horizontal="right"/>
    </xf>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24" fillId="12" borderId="0" xfId="0" applyNumberFormat="1" applyFont="1" applyFill="1" applyAlignment="1">
      <alignment horizontal="right"/>
    </xf>
    <xf numFmtId="187" fontId="24" fillId="0" borderId="0" xfId="0" applyNumberFormat="1" applyFont="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5" fontId="41" fillId="13" borderId="0" xfId="0" applyNumberFormat="1" applyFont="1" applyFill="1"/>
    <xf numFmtId="185"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4" fontId="7" fillId="12" borderId="0" xfId="0" applyNumberFormat="1" applyFont="1" applyFill="1"/>
    <xf numFmtId="171" fontId="16" fillId="12" borderId="16" xfId="0" applyNumberFormat="1" applyFont="1" applyFill="1" applyBorder="1"/>
    <xf numFmtId="171" fontId="7" fillId="0" borderId="16" xfId="0" applyNumberFormat="1" applyFont="1" applyBorder="1"/>
    <xf numFmtId="171" fontId="7" fillId="13" borderId="16" xfId="0" applyNumberFormat="1" applyFont="1" applyFill="1" applyBorder="1"/>
    <xf numFmtId="189" fontId="7" fillId="12" borderId="0" xfId="0" applyNumberFormat="1" applyFont="1" applyFill="1"/>
    <xf numFmtId="171" fontId="16" fillId="12" borderId="0" xfId="0" applyNumberFormat="1" applyFont="1" applyFill="1"/>
    <xf numFmtId="171" fontId="7" fillId="13" borderId="0" xfId="0" applyNumberFormat="1" applyFont="1" applyFill="1"/>
    <xf numFmtId="189" fontId="7" fillId="13" borderId="0" xfId="0" applyNumberFormat="1" applyFont="1" applyFill="1"/>
    <xf numFmtId="171" fontId="14" fillId="13" borderId="0" xfId="0" applyNumberFormat="1" applyFont="1" applyFill="1"/>
    <xf numFmtId="171" fontId="14" fillId="0" borderId="0" xfId="0" applyNumberFormat="1" applyFont="1"/>
    <xf numFmtId="190" fontId="7" fillId="12" borderId="0" xfId="0" applyNumberFormat="1" applyFont="1" applyFill="1"/>
    <xf numFmtId="190" fontId="7" fillId="13" borderId="0" xfId="0" applyNumberFormat="1" applyFont="1" applyFill="1"/>
    <xf numFmtId="171" fontId="16" fillId="13" borderId="0" xfId="0" applyNumberFormat="1" applyFont="1" applyFill="1"/>
    <xf numFmtId="171" fontId="16" fillId="0" borderId="0" xfId="0" applyNumberFormat="1" applyFont="1"/>
    <xf numFmtId="171" fontId="16" fillId="4" borderId="16" xfId="0" applyNumberFormat="1" applyFont="1" applyFill="1" applyBorder="1"/>
    <xf numFmtId="171" fontId="16" fillId="13" borderId="16" xfId="0" applyNumberFormat="1" applyFont="1" applyFill="1" applyBorder="1"/>
    <xf numFmtId="171" fontId="16" fillId="0" borderId="16" xfId="0" applyNumberFormat="1" applyFont="1" applyBorder="1"/>
    <xf numFmtId="169" fontId="7" fillId="12" borderId="0" xfId="0" applyNumberFormat="1" applyFont="1" applyFill="1"/>
    <xf numFmtId="169" fontId="7" fillId="13" borderId="0" xfId="0" applyNumberFormat="1" applyFont="1" applyFill="1"/>
    <xf numFmtId="171"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5" fontId="7" fillId="12" borderId="0" xfId="0" applyNumberFormat="1" applyFont="1" applyFill="1" applyAlignment="1">
      <alignment horizontal="right"/>
    </xf>
    <xf numFmtId="185" fontId="7" fillId="0" borderId="0" xfId="0" applyNumberFormat="1" applyFont="1" applyAlignment="1">
      <alignment horizontal="right"/>
    </xf>
    <xf numFmtId="185" fontId="7" fillId="13" borderId="0" xfId="0" applyNumberFormat="1" applyFont="1" applyFill="1" applyAlignment="1">
      <alignment horizontal="right"/>
    </xf>
    <xf numFmtId="185" fontId="14" fillId="13" borderId="0" xfId="0" applyNumberFormat="1" applyFont="1" applyFill="1" applyAlignment="1">
      <alignment horizontal="right"/>
    </xf>
    <xf numFmtId="185" fontId="14" fillId="0" borderId="0" xfId="0" applyNumberFormat="1" applyFont="1" applyAlignment="1">
      <alignment horizontal="right"/>
    </xf>
    <xf numFmtId="191" fontId="7" fillId="12" borderId="0" xfId="0" applyNumberFormat="1" applyFont="1" applyFill="1"/>
    <xf numFmtId="191" fontId="7" fillId="13" borderId="0" xfId="0" applyNumberFormat="1" applyFont="1" applyFill="1"/>
    <xf numFmtId="171" fontId="7" fillId="12" borderId="0" xfId="0" applyNumberFormat="1" applyFont="1" applyFill="1"/>
    <xf numFmtId="171"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4" fontId="7" fillId="12" borderId="29" xfId="0" applyNumberFormat="1" applyFont="1" applyFill="1" applyBorder="1"/>
    <xf numFmtId="184" fontId="7" fillId="0" borderId="29" xfId="0" applyNumberFormat="1" applyFont="1" applyBorder="1"/>
    <xf numFmtId="184" fontId="7" fillId="13" borderId="29" xfId="0" applyNumberFormat="1" applyFont="1" applyFill="1" applyBorder="1"/>
    <xf numFmtId="171" fontId="14" fillId="0" borderId="16" xfId="0" applyNumberFormat="1" applyFont="1" applyBorder="1"/>
    <xf numFmtId="184" fontId="16" fillId="12" borderId="0" xfId="0" applyNumberFormat="1" applyFont="1" applyFill="1"/>
    <xf numFmtId="184" fontId="4" fillId="12" borderId="0" xfId="0" applyNumberFormat="1" applyFont="1" applyFill="1"/>
    <xf numFmtId="171" fontId="4" fillId="12" borderId="16" xfId="0" applyNumberFormat="1" applyFont="1" applyFill="1" applyBorder="1"/>
    <xf numFmtId="184" fontId="16" fillId="0" borderId="0" xfId="0" applyNumberFormat="1" applyFont="1"/>
    <xf numFmtId="0" fontId="7" fillId="3" borderId="3" xfId="0" applyFont="1" applyFill="1" applyBorder="1"/>
    <xf numFmtId="185" fontId="7" fillId="12" borderId="0" xfId="0" applyNumberFormat="1" applyFont="1" applyFill="1"/>
    <xf numFmtId="185" fontId="7" fillId="0" borderId="0" xfId="0" applyNumberFormat="1" applyFont="1"/>
    <xf numFmtId="185" fontId="7" fillId="13" borderId="0" xfId="0" applyNumberFormat="1" applyFont="1" applyFill="1"/>
    <xf numFmtId="0" fontId="24" fillId="0" borderId="29" xfId="0" applyFont="1" applyBorder="1" applyAlignment="1">
      <alignment horizontal="left"/>
    </xf>
    <xf numFmtId="0" fontId="24" fillId="0" borderId="29" xfId="0" applyFont="1" applyBorder="1"/>
    <xf numFmtId="192" fontId="24" fillId="12" borderId="29" xfId="0" applyNumberFormat="1" applyFont="1" applyFill="1" applyBorder="1" applyAlignment="1">
      <alignment horizontal="right"/>
    </xf>
    <xf numFmtId="192" fontId="24" fillId="0" borderId="29" xfId="0" applyNumberFormat="1" applyFont="1" applyBorder="1" applyAlignment="1">
      <alignment horizontal="right"/>
    </xf>
    <xf numFmtId="192" fontId="24" fillId="13" borderId="29" xfId="0" applyNumberFormat="1" applyFont="1" applyFill="1" applyBorder="1" applyAlignment="1">
      <alignment horizontal="right"/>
    </xf>
    <xf numFmtId="192" fontId="24" fillId="0" borderId="27" xfId="0" applyNumberFormat="1" applyFont="1" applyBorder="1" applyAlignment="1">
      <alignment horizontal="right"/>
    </xf>
    <xf numFmtId="0" fontId="7" fillId="0" borderId="26" xfId="0" applyFont="1" applyBorder="1" applyAlignment="1">
      <alignment horizontal="left"/>
    </xf>
    <xf numFmtId="184" fontId="7" fillId="0" borderId="27" xfId="0" applyNumberFormat="1" applyFont="1" applyBorder="1"/>
    <xf numFmtId="0" fontId="7" fillId="12" borderId="24" xfId="0" applyFont="1" applyFill="1" applyBorder="1"/>
    <xf numFmtId="0" fontId="7" fillId="13" borderId="24" xfId="0" applyFont="1" applyFill="1" applyBorder="1"/>
    <xf numFmtId="173" fontId="7" fillId="12" borderId="0" xfId="0" applyNumberFormat="1" applyFont="1" applyFill="1"/>
    <xf numFmtId="173" fontId="14" fillId="13" borderId="0" xfId="0" applyNumberFormat="1" applyFont="1" applyFill="1"/>
    <xf numFmtId="173" fontId="14" fillId="0" borderId="0" xfId="0" applyNumberFormat="1" applyFont="1"/>
    <xf numFmtId="186" fontId="16" fillId="12" borderId="0" xfId="0" applyNumberFormat="1" applyFont="1" applyFill="1"/>
    <xf numFmtId="186" fontId="7" fillId="0" borderId="16" xfId="0" applyNumberFormat="1" applyFont="1" applyBorder="1"/>
    <xf numFmtId="173" fontId="7" fillId="13" borderId="0" xfId="0" applyNumberFormat="1" applyFont="1" applyFill="1"/>
    <xf numFmtId="184" fontId="16" fillId="4" borderId="0" xfId="0" applyNumberFormat="1" applyFont="1" applyFill="1"/>
    <xf numFmtId="186" fontId="16" fillId="13" borderId="0" xfId="0" applyNumberFormat="1" applyFont="1" applyFill="1"/>
    <xf numFmtId="186" fontId="16" fillId="0" borderId="0" xfId="0" applyNumberFormat="1" applyFont="1"/>
    <xf numFmtId="186" fontId="16" fillId="12" borderId="16" xfId="0" applyNumberFormat="1" applyFont="1" applyFill="1" applyBorder="1"/>
    <xf numFmtId="186" fontId="16" fillId="13" borderId="16" xfId="0" applyNumberFormat="1" applyFont="1" applyFill="1" applyBorder="1"/>
    <xf numFmtId="186" fontId="16" fillId="0" borderId="16" xfId="0" applyNumberFormat="1" applyFont="1" applyBorder="1"/>
    <xf numFmtId="185" fontId="14" fillId="13" borderId="0" xfId="0" applyNumberFormat="1" applyFont="1" applyFill="1"/>
    <xf numFmtId="185" fontId="14" fillId="0" borderId="0" xfId="0" applyNumberFormat="1" applyFont="1"/>
    <xf numFmtId="0" fontId="24" fillId="12" borderId="0" xfId="0" applyFont="1" applyFill="1"/>
    <xf numFmtId="184" fontId="24" fillId="12" borderId="0" xfId="0" applyNumberFormat="1" applyFont="1" applyFill="1"/>
    <xf numFmtId="184" fontId="24" fillId="0" borderId="0" xfId="0" applyNumberFormat="1" applyFont="1"/>
    <xf numFmtId="184" fontId="24" fillId="13" borderId="0" xfId="0" applyNumberFormat="1" applyFont="1" applyFill="1"/>
    <xf numFmtId="193" fontId="7" fillId="12" borderId="0" xfId="0" applyNumberFormat="1" applyFont="1" applyFill="1"/>
    <xf numFmtId="188" fontId="7" fillId="12" borderId="0" xfId="0" applyNumberFormat="1" applyFont="1" applyFill="1"/>
    <xf numFmtId="188" fontId="7" fillId="0" borderId="0" xfId="0" applyNumberFormat="1" applyFont="1"/>
    <xf numFmtId="188" fontId="7" fillId="13" borderId="0" xfId="0" applyNumberFormat="1" applyFont="1" applyFill="1"/>
    <xf numFmtId="169" fontId="16" fillId="12" borderId="0" xfId="0" applyNumberFormat="1" applyFont="1" applyFill="1"/>
    <xf numFmtId="169" fontId="16" fillId="4" borderId="0" xfId="0" applyNumberFormat="1" applyFont="1" applyFill="1"/>
    <xf numFmtId="169" fontId="14" fillId="13" borderId="0" xfId="0" applyNumberFormat="1" applyFont="1" applyFill="1"/>
    <xf numFmtId="169" fontId="16" fillId="13" borderId="0" xfId="0" applyNumberFormat="1" applyFont="1" applyFill="1"/>
    <xf numFmtId="169" fontId="16" fillId="0" borderId="0" xfId="0" applyNumberFormat="1" applyFont="1"/>
    <xf numFmtId="171" fontId="7" fillId="4" borderId="0" xfId="0" applyNumberFormat="1" applyFont="1" applyFill="1"/>
    <xf numFmtId="171" fontId="16" fillId="4" borderId="0" xfId="0" applyNumberFormat="1" applyFont="1" applyFill="1"/>
    <xf numFmtId="194" fontId="7" fillId="12" borderId="0" xfId="0" applyNumberFormat="1" applyFont="1" applyFill="1"/>
    <xf numFmtId="169" fontId="7" fillId="4" borderId="0" xfId="0" applyNumberFormat="1" applyFont="1" applyFill="1"/>
    <xf numFmtId="0" fontId="7" fillId="4" borderId="0" xfId="0" applyFont="1" applyFill="1"/>
    <xf numFmtId="39" fontId="7" fillId="12" borderId="0" xfId="0" applyNumberFormat="1" applyFont="1" applyFill="1"/>
    <xf numFmtId="186" fontId="16" fillId="4" borderId="0" xfId="0" applyNumberFormat="1" applyFont="1" applyFill="1"/>
    <xf numFmtId="184" fontId="7" fillId="4" borderId="0" xfId="0" applyNumberFormat="1" applyFont="1" applyFill="1"/>
    <xf numFmtId="173" fontId="24" fillId="12" borderId="0" xfId="0" applyNumberFormat="1" applyFont="1" applyFill="1"/>
    <xf numFmtId="173" fontId="24" fillId="0" borderId="0" xfId="0" applyNumberFormat="1" applyFont="1"/>
    <xf numFmtId="173" fontId="24" fillId="4" borderId="0" xfId="0" applyNumberFormat="1" applyFont="1" applyFill="1"/>
    <xf numFmtId="173" fontId="41" fillId="13" borderId="0" xfId="0" applyNumberFormat="1" applyFont="1" applyFill="1"/>
    <xf numFmtId="173" fontId="41" fillId="0" borderId="0" xfId="0" applyNumberFormat="1" applyFont="1"/>
    <xf numFmtId="171" fontId="7" fillId="4" borderId="16" xfId="0" applyNumberFormat="1" applyFont="1" applyFill="1" applyBorder="1"/>
    <xf numFmtId="195" fontId="7" fillId="13" borderId="0" xfId="0" applyNumberFormat="1" applyFont="1" applyFill="1"/>
    <xf numFmtId="195" fontId="7" fillId="0" borderId="0" xfId="0" applyNumberFormat="1" applyFont="1"/>
    <xf numFmtId="189" fontId="7" fillId="0" borderId="0" xfId="0" applyNumberFormat="1" applyFont="1"/>
    <xf numFmtId="189" fontId="16" fillId="12" borderId="0" xfId="0" applyNumberFormat="1" applyFont="1" applyFill="1"/>
    <xf numFmtId="189" fontId="16" fillId="0" borderId="0" xfId="0" applyNumberFormat="1" applyFont="1"/>
    <xf numFmtId="189" fontId="16" fillId="12" borderId="16" xfId="0" applyNumberFormat="1" applyFont="1" applyFill="1" applyBorder="1"/>
    <xf numFmtId="189" fontId="16" fillId="0" borderId="16" xfId="0" applyNumberFormat="1" applyFont="1" applyBorder="1"/>
    <xf numFmtId="189" fontId="7" fillId="13" borderId="16" xfId="0" applyNumberFormat="1" applyFont="1" applyFill="1" applyBorder="1"/>
    <xf numFmtId="189" fontId="7" fillId="0" borderId="16" xfId="0" applyNumberFormat="1" applyFont="1" applyBorder="1"/>
    <xf numFmtId="186" fontId="14" fillId="13" borderId="0" xfId="0" applyNumberFormat="1" applyFont="1" applyFill="1"/>
    <xf numFmtId="0" fontId="14" fillId="0" borderId="0" xfId="0" applyFont="1"/>
    <xf numFmtId="186" fontId="14" fillId="0" borderId="0" xfId="0" applyNumberFormat="1" applyFont="1"/>
    <xf numFmtId="185" fontId="24" fillId="12" borderId="0" xfId="0" applyNumberFormat="1" applyFont="1" applyFill="1"/>
    <xf numFmtId="185" fontId="24" fillId="0" borderId="0" xfId="0" applyNumberFormat="1" applyFont="1"/>
    <xf numFmtId="185" fontId="24" fillId="13" borderId="0" xfId="0" applyNumberFormat="1" applyFont="1" applyFill="1"/>
    <xf numFmtId="196" fontId="41" fillId="13" borderId="0" xfId="0" applyNumberFormat="1" applyFont="1" applyFill="1"/>
    <xf numFmtId="196" fontId="41" fillId="0" borderId="0" xfId="0" applyNumberFormat="1" applyFont="1"/>
    <xf numFmtId="0" fontId="7" fillId="12" borderId="29" xfId="0" applyFont="1" applyFill="1" applyBorder="1"/>
    <xf numFmtId="171" fontId="16" fillId="12" borderId="0" xfId="0" applyNumberFormat="1" applyFont="1" applyFill="1" applyAlignment="1">
      <alignment horizontal="right"/>
    </xf>
    <xf numFmtId="171" fontId="7" fillId="0" borderId="0" xfId="0" applyNumberFormat="1" applyFont="1" applyAlignment="1">
      <alignment horizontal="right"/>
    </xf>
    <xf numFmtId="171" fontId="14" fillId="13" borderId="0" xfId="0" applyNumberFormat="1" applyFont="1" applyFill="1" applyAlignment="1">
      <alignment horizontal="right"/>
    </xf>
    <xf numFmtId="171" fontId="14" fillId="0" borderId="0" xfId="0" applyNumberFormat="1" applyFont="1" applyAlignment="1">
      <alignment horizontal="right"/>
    </xf>
    <xf numFmtId="171" fontId="7" fillId="12" borderId="0" xfId="0" applyNumberFormat="1" applyFont="1" applyFill="1" applyAlignment="1">
      <alignment horizontal="right"/>
    </xf>
    <xf numFmtId="173" fontId="7" fillId="12" borderId="0" xfId="0" applyNumberFormat="1" applyFont="1" applyFill="1" applyAlignment="1">
      <alignment horizontal="right"/>
    </xf>
    <xf numFmtId="173" fontId="7" fillId="13" borderId="0" xfId="0" applyNumberFormat="1" applyFont="1" applyFill="1" applyAlignment="1">
      <alignment horizontal="right"/>
    </xf>
    <xf numFmtId="0" fontId="16" fillId="0" borderId="0" xfId="0" applyFont="1" applyAlignment="1">
      <alignment horizontal="left"/>
    </xf>
    <xf numFmtId="171" fontId="16" fillId="13" borderId="0" xfId="0" applyNumberFormat="1" applyFont="1" applyFill="1" applyAlignment="1">
      <alignment horizontal="right"/>
    </xf>
    <xf numFmtId="171" fontId="16" fillId="0" borderId="0" xfId="0" applyNumberFormat="1" applyFont="1" applyAlignment="1">
      <alignment horizontal="right"/>
    </xf>
    <xf numFmtId="173" fontId="7" fillId="0" borderId="0" xfId="0" applyNumberFormat="1" applyFont="1" applyAlignment="1">
      <alignment horizontal="right"/>
    </xf>
    <xf numFmtId="171" fontId="7" fillId="13" borderId="0" xfId="0" applyNumberFormat="1" applyFont="1" applyFill="1" applyAlignment="1">
      <alignment horizontal="right"/>
    </xf>
    <xf numFmtId="191" fontId="16" fillId="12" borderId="0" xfId="0" applyNumberFormat="1" applyFont="1" applyFill="1" applyAlignment="1">
      <alignment horizontal="right"/>
    </xf>
    <xf numFmtId="191" fontId="16" fillId="13" borderId="0" xfId="0" applyNumberFormat="1" applyFont="1" applyFill="1" applyAlignment="1">
      <alignment horizontal="right"/>
    </xf>
    <xf numFmtId="192" fontId="24" fillId="12" borderId="0" xfId="0" applyNumberFormat="1" applyFont="1" applyFill="1" applyAlignment="1">
      <alignment horizontal="right"/>
    </xf>
    <xf numFmtId="192" fontId="24" fillId="0" borderId="0" xfId="0" applyNumberFormat="1" applyFont="1" applyAlignment="1">
      <alignment horizontal="right"/>
    </xf>
    <xf numFmtId="192" fontId="24" fillId="13" borderId="0" xfId="0" applyNumberFormat="1" applyFont="1" applyFill="1" applyAlignment="1">
      <alignment horizontal="right"/>
    </xf>
    <xf numFmtId="184" fontId="14" fillId="13" borderId="0" xfId="0" applyNumberFormat="1" applyFont="1" applyFill="1" applyAlignment="1">
      <alignment horizontal="right"/>
    </xf>
    <xf numFmtId="171" fontId="4" fillId="0" borderId="0" xfId="0" applyNumberFormat="1" applyFont="1" applyAlignment="1">
      <alignment horizontal="right"/>
    </xf>
    <xf numFmtId="171" fontId="4" fillId="13" borderId="0" xfId="0" applyNumberFormat="1" applyFont="1" applyFill="1" applyAlignment="1">
      <alignment horizontal="right"/>
    </xf>
    <xf numFmtId="192" fontId="40" fillId="12" borderId="0" xfId="0" applyNumberFormat="1" applyFont="1" applyFill="1" applyAlignment="1">
      <alignment horizontal="right"/>
    </xf>
    <xf numFmtId="192" fontId="24" fillId="15" borderId="0" xfId="0" applyNumberFormat="1" applyFont="1" applyFill="1" applyAlignment="1">
      <alignment horizontal="right"/>
    </xf>
    <xf numFmtId="0" fontId="4" fillId="0" borderId="0" xfId="0" applyFont="1" applyAlignment="1">
      <alignment horizontal="left"/>
    </xf>
    <xf numFmtId="185" fontId="4" fillId="0" borderId="0" xfId="0" applyNumberFormat="1" applyFont="1" applyAlignment="1">
      <alignment horizontal="right"/>
    </xf>
    <xf numFmtId="191" fontId="7" fillId="12" borderId="0" xfId="0" applyNumberFormat="1" applyFont="1" applyFill="1" applyAlignment="1">
      <alignment horizontal="right"/>
    </xf>
    <xf numFmtId="184" fontId="7" fillId="15" borderId="0" xfId="0" applyNumberFormat="1" applyFont="1" applyFill="1" applyAlignment="1">
      <alignment horizontal="right"/>
    </xf>
    <xf numFmtId="191"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89" fontId="7" fillId="12" borderId="0" xfId="0" applyNumberFormat="1" applyFont="1" applyFill="1" applyAlignment="1">
      <alignment horizontal="right"/>
    </xf>
    <xf numFmtId="189" fontId="7" fillId="13" borderId="0" xfId="0" applyNumberFormat="1" applyFont="1" applyFill="1" applyAlignment="1">
      <alignment horizontal="right"/>
    </xf>
    <xf numFmtId="189"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6" fontId="16" fillId="13" borderId="0" xfId="0" applyNumberFormat="1" applyFont="1" applyFill="1" applyAlignment="1">
      <alignment horizontal="right"/>
    </xf>
    <xf numFmtId="186"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5" fontId="14" fillId="12" borderId="0" xfId="0" applyNumberFormat="1" applyFont="1" applyFill="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197" fontId="7" fillId="13" borderId="0" xfId="0" applyNumberFormat="1" applyFont="1" applyFill="1" applyAlignment="1">
      <alignment horizontal="right"/>
    </xf>
    <xf numFmtId="197" fontId="7" fillId="0" borderId="0" xfId="0" applyNumberFormat="1" applyFont="1" applyAlignment="1">
      <alignment horizontal="right"/>
    </xf>
    <xf numFmtId="197" fontId="41" fillId="13" borderId="0" xfId="0" applyNumberFormat="1" applyFont="1" applyFill="1" applyAlignment="1">
      <alignment horizontal="right"/>
    </xf>
    <xf numFmtId="197" fontId="41" fillId="0" borderId="0" xfId="0" applyNumberFormat="1" applyFont="1" applyAlignment="1">
      <alignment horizontal="right"/>
    </xf>
    <xf numFmtId="177" fontId="41" fillId="0" borderId="0" xfId="0" applyNumberFormat="1" applyFont="1" applyAlignment="1">
      <alignment horizontal="right"/>
    </xf>
    <xf numFmtId="184" fontId="41" fillId="13" borderId="0" xfId="0" applyNumberFormat="1" applyFont="1" applyFill="1" applyAlignment="1">
      <alignment horizontal="right"/>
    </xf>
    <xf numFmtId="184"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5"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198" fontId="13" fillId="2" borderId="7" xfId="0" applyNumberFormat="1" applyFont="1" applyFill="1" applyBorder="1" applyAlignment="1">
      <alignment horizontal="center"/>
    </xf>
    <xf numFmtId="176" fontId="13" fillId="2" borderId="7" xfId="0" applyNumberFormat="1" applyFont="1" applyFill="1" applyBorder="1" applyAlignment="1">
      <alignment horizontal="center"/>
    </xf>
    <xf numFmtId="176" fontId="13" fillId="2" borderId="3" xfId="0" applyNumberFormat="1" applyFont="1" applyFill="1" applyBorder="1" applyAlignment="1">
      <alignment horizontal="center"/>
    </xf>
    <xf numFmtId="199" fontId="13" fillId="2" borderId="7" xfId="0" applyNumberFormat="1" applyFont="1" applyFill="1" applyBorder="1" applyAlignment="1">
      <alignment horizontal="center"/>
    </xf>
    <xf numFmtId="200" fontId="7" fillId="0" borderId="0" xfId="0" applyNumberFormat="1" applyFont="1" applyAlignment="1">
      <alignment horizontal="center"/>
    </xf>
    <xf numFmtId="199" fontId="7" fillId="0" borderId="0" xfId="0" applyNumberFormat="1" applyFont="1" applyAlignment="1">
      <alignment horizontal="center"/>
    </xf>
    <xf numFmtId="201" fontId="7" fillId="0" borderId="0" xfId="0" applyNumberFormat="1" applyFont="1" applyAlignment="1">
      <alignment horizontal="center"/>
    </xf>
    <xf numFmtId="37" fontId="7" fillId="0" borderId="0" xfId="0" applyNumberFormat="1" applyFont="1" applyAlignment="1">
      <alignment horizontal="center"/>
    </xf>
    <xf numFmtId="198" fontId="7" fillId="0" borderId="0" xfId="0" applyNumberFormat="1" applyFont="1" applyAlignment="1">
      <alignment horizontal="center"/>
    </xf>
    <xf numFmtId="176"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198" fontId="7" fillId="4" borderId="59" xfId="0" applyNumberFormat="1" applyFont="1" applyFill="1" applyBorder="1" applyAlignment="1">
      <alignment horizontal="center"/>
    </xf>
    <xf numFmtId="201" fontId="7" fillId="4" borderId="59" xfId="0" applyNumberFormat="1" applyFont="1" applyFill="1" applyBorder="1" applyAlignment="1">
      <alignment horizontal="center"/>
    </xf>
    <xf numFmtId="176" fontId="7" fillId="4" borderId="59" xfId="0" applyNumberFormat="1" applyFont="1" applyFill="1" applyBorder="1" applyAlignment="1">
      <alignment horizontal="center"/>
    </xf>
    <xf numFmtId="176" fontId="7" fillId="4" borderId="60" xfId="0" applyNumberFormat="1" applyFont="1" applyFill="1" applyBorder="1" applyAlignment="1">
      <alignment horizontal="center"/>
    </xf>
    <xf numFmtId="199"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198" fontId="7" fillId="4" borderId="0" xfId="0" applyNumberFormat="1" applyFont="1" applyFill="1" applyAlignment="1">
      <alignment horizontal="center"/>
    </xf>
    <xf numFmtId="201" fontId="7" fillId="4" borderId="0" xfId="0" applyNumberFormat="1" applyFont="1" applyFill="1" applyAlignment="1">
      <alignment horizontal="center"/>
    </xf>
    <xf numFmtId="176" fontId="7" fillId="4" borderId="0" xfId="0" applyNumberFormat="1" applyFont="1" applyFill="1" applyAlignment="1">
      <alignment horizontal="center"/>
    </xf>
    <xf numFmtId="176" fontId="7" fillId="4" borderId="32" xfId="0" applyNumberFormat="1" applyFont="1" applyFill="1" applyBorder="1" applyAlignment="1">
      <alignment horizontal="center"/>
    </xf>
    <xf numFmtId="199"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198" fontId="7" fillId="4" borderId="1" xfId="0" applyNumberFormat="1" applyFont="1" applyFill="1" applyBorder="1" applyAlignment="1">
      <alignment horizontal="center"/>
    </xf>
    <xf numFmtId="201" fontId="7" fillId="4" borderId="1" xfId="0" applyNumberFormat="1" applyFont="1" applyFill="1" applyBorder="1" applyAlignment="1">
      <alignment horizontal="center"/>
    </xf>
    <xf numFmtId="176" fontId="7" fillId="4" borderId="1" xfId="0" applyNumberFormat="1" applyFont="1" applyFill="1" applyBorder="1" applyAlignment="1">
      <alignment horizontal="center"/>
    </xf>
    <xf numFmtId="176" fontId="7" fillId="4" borderId="63" xfId="0" applyNumberFormat="1" applyFont="1" applyFill="1" applyBorder="1" applyAlignment="1">
      <alignment horizontal="center"/>
    </xf>
    <xf numFmtId="199" fontId="7" fillId="4" borderId="1" xfId="0" applyNumberFormat="1" applyFont="1" applyFill="1" applyBorder="1" applyAlignment="1">
      <alignment horizontal="center"/>
    </xf>
    <xf numFmtId="0" fontId="47" fillId="0" borderId="0" xfId="0" applyFont="1" applyAlignment="1">
      <alignment horizontal="center"/>
    </xf>
    <xf numFmtId="202" fontId="13" fillId="2" borderId="7" xfId="0" applyNumberFormat="1" applyFont="1" applyFill="1" applyBorder="1" applyAlignment="1">
      <alignment horizontal="center"/>
    </xf>
    <xf numFmtId="203" fontId="7" fillId="0" borderId="0" xfId="0" applyNumberFormat="1" applyFont="1" applyAlignment="1">
      <alignment horizontal="center"/>
    </xf>
    <xf numFmtId="202" fontId="7" fillId="0" borderId="0" xfId="0" applyNumberFormat="1" applyFont="1" applyAlignment="1">
      <alignment horizontal="center"/>
    </xf>
    <xf numFmtId="170"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4" fontId="7" fillId="0" borderId="1" xfId="0" applyNumberFormat="1" applyFont="1" applyBorder="1" applyAlignment="1">
      <alignment horizontal="center"/>
    </xf>
    <xf numFmtId="0" fontId="7" fillId="0" borderId="1" xfId="0" applyFont="1" applyBorder="1" applyAlignment="1">
      <alignment horizontal="center"/>
    </xf>
    <xf numFmtId="176" fontId="7" fillId="0" borderId="1" xfId="0" applyNumberFormat="1" applyFont="1" applyBorder="1" applyAlignment="1">
      <alignment horizontal="center"/>
    </xf>
    <xf numFmtId="201" fontId="7" fillId="0" borderId="1" xfId="0" applyNumberFormat="1" applyFont="1" applyBorder="1" applyAlignment="1">
      <alignment horizontal="center"/>
    </xf>
    <xf numFmtId="204"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199" fontId="7" fillId="16" borderId="7" xfId="0" applyNumberFormat="1" applyFont="1" applyFill="1" applyBorder="1" applyAlignment="1">
      <alignment horizontal="center"/>
    </xf>
    <xf numFmtId="176" fontId="7" fillId="16" borderId="7" xfId="0" applyNumberFormat="1" applyFont="1" applyFill="1" applyBorder="1" applyAlignment="1">
      <alignment horizontal="center"/>
    </xf>
    <xf numFmtId="176" fontId="7" fillId="16" borderId="3" xfId="0" applyNumberFormat="1" applyFont="1" applyFill="1" applyBorder="1" applyAlignment="1">
      <alignment horizontal="center"/>
    </xf>
    <xf numFmtId="173"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199"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176" fontId="13" fillId="2" borderId="65" xfId="0" applyNumberFormat="1" applyFont="1" applyFill="1" applyBorder="1" applyAlignment="1">
      <alignment horizontal="center"/>
    </xf>
    <xf numFmtId="176"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199" fontId="13" fillId="2" borderId="29" xfId="0" applyNumberFormat="1" applyFont="1" applyFill="1" applyBorder="1" applyAlignment="1">
      <alignment horizontal="center"/>
    </xf>
    <xf numFmtId="205" fontId="13" fillId="2" borderId="29" xfId="0" applyNumberFormat="1" applyFont="1" applyFill="1" applyBorder="1" applyAlignment="1">
      <alignment horizontal="center"/>
    </xf>
    <xf numFmtId="176" fontId="13" fillId="2" borderId="29" xfId="0" applyNumberFormat="1" applyFont="1" applyFill="1" applyBorder="1" applyAlignment="1">
      <alignment horizontal="center"/>
    </xf>
    <xf numFmtId="176"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199" fontId="13" fillId="2" borderId="70" xfId="0" applyNumberFormat="1" applyFont="1" applyFill="1" applyBorder="1" applyAlignment="1">
      <alignment horizontal="center"/>
    </xf>
    <xf numFmtId="205" fontId="13" fillId="2" borderId="70" xfId="0" applyNumberFormat="1" applyFont="1" applyFill="1" applyBorder="1" applyAlignment="1">
      <alignment horizontal="center"/>
    </xf>
    <xf numFmtId="176" fontId="13" fillId="2" borderId="70" xfId="0" applyNumberFormat="1" applyFont="1" applyFill="1" applyBorder="1" applyAlignment="1">
      <alignment horizontal="center"/>
    </xf>
    <xf numFmtId="176" fontId="13" fillId="2" borderId="71" xfId="0" applyNumberFormat="1" applyFont="1" applyFill="1" applyBorder="1" applyAlignment="1">
      <alignment horizontal="center"/>
    </xf>
    <xf numFmtId="202" fontId="7" fillId="16" borderId="7" xfId="0" applyNumberFormat="1" applyFont="1" applyFill="1" applyBorder="1" applyAlignment="1">
      <alignment horizontal="center"/>
    </xf>
    <xf numFmtId="0" fontId="7" fillId="16" borderId="3" xfId="0" applyFont="1" applyFill="1" applyBorder="1" applyAlignment="1">
      <alignment horizontal="center"/>
    </xf>
    <xf numFmtId="181"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6"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7"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08" fontId="7" fillId="0" borderId="21" xfId="0" applyNumberFormat="1" applyFont="1" applyBorder="1" applyAlignment="1">
      <alignment horizontal="center"/>
    </xf>
    <xf numFmtId="167" fontId="7" fillId="0" borderId="21" xfId="0" applyNumberFormat="1" applyFont="1" applyBorder="1" applyAlignment="1">
      <alignment horizontal="center"/>
    </xf>
    <xf numFmtId="170" fontId="16" fillId="0" borderId="0" xfId="0" applyNumberFormat="1" applyFont="1"/>
    <xf numFmtId="0" fontId="7" fillId="0" borderId="2" xfId="0" applyFont="1" applyBorder="1"/>
    <xf numFmtId="0" fontId="7" fillId="0" borderId="7" xfId="0" applyFont="1" applyBorder="1"/>
    <xf numFmtId="207" fontId="7" fillId="0" borderId="3" xfId="0" applyNumberFormat="1" applyFont="1" applyBorder="1" applyAlignment="1">
      <alignment horizontal="center"/>
    </xf>
    <xf numFmtId="207" fontId="7" fillId="0" borderId="21" xfId="0" applyNumberFormat="1" applyFont="1" applyBorder="1"/>
    <xf numFmtId="183" fontId="24" fillId="0" borderId="0" xfId="0" applyNumberFormat="1" applyFont="1" applyAlignment="1">
      <alignment horizontal="center"/>
    </xf>
    <xf numFmtId="0" fontId="6" fillId="0" borderId="1" xfId="0" applyFont="1" applyBorder="1"/>
    <xf numFmtId="180"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7" fontId="7" fillId="0" borderId="47" xfId="0" applyNumberFormat="1" applyFont="1" applyBorder="1" applyAlignment="1">
      <alignment horizontal="center"/>
    </xf>
    <xf numFmtId="207" fontId="7" fillId="0" borderId="21" xfId="0" applyNumberFormat="1" applyFont="1" applyBorder="1" applyAlignment="1">
      <alignment horizontal="center"/>
    </xf>
    <xf numFmtId="207" fontId="7" fillId="0" borderId="45" xfId="0" applyNumberFormat="1" applyFont="1" applyBorder="1" applyAlignment="1">
      <alignment horizontal="center"/>
    </xf>
    <xf numFmtId="0" fontId="6" fillId="0" borderId="73" xfId="0" applyFont="1" applyBorder="1"/>
    <xf numFmtId="207" fontId="7" fillId="0" borderId="8" xfId="0" applyNumberFormat="1" applyFont="1" applyBorder="1" applyAlignment="1">
      <alignment horizontal="center"/>
    </xf>
    <xf numFmtId="207" fontId="13" fillId="2" borderId="0" xfId="0" applyNumberFormat="1" applyFont="1" applyFill="1" applyAlignment="1">
      <alignment horizontal="center"/>
    </xf>
    <xf numFmtId="207"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7" fontId="7" fillId="0" borderId="15" xfId="0" applyNumberFormat="1" applyFont="1" applyBorder="1" applyAlignment="1">
      <alignment horizontal="center"/>
    </xf>
    <xf numFmtId="207" fontId="7" fillId="0" borderId="16" xfId="0" applyNumberFormat="1" applyFont="1" applyBorder="1" applyAlignment="1">
      <alignment horizontal="center"/>
    </xf>
    <xf numFmtId="207" fontId="7" fillId="0" borderId="17" xfId="0" applyNumberFormat="1" applyFont="1" applyBorder="1" applyAlignment="1">
      <alignment horizontal="center"/>
    </xf>
    <xf numFmtId="170" fontId="14" fillId="0" borderId="0" xfId="0" applyNumberFormat="1" applyFont="1"/>
    <xf numFmtId="39" fontId="7" fillId="0" borderId="0" xfId="0" applyNumberFormat="1" applyFont="1"/>
    <xf numFmtId="39" fontId="14" fillId="0" borderId="0" xfId="0" applyNumberFormat="1" applyFont="1" applyAlignment="1">
      <alignment horizontal="center"/>
    </xf>
    <xf numFmtId="201"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7"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1" fontId="14" fillId="0" borderId="16" xfId="0" applyNumberFormat="1" applyFont="1" applyBorder="1" applyAlignment="1">
      <alignment horizontal="center"/>
    </xf>
    <xf numFmtId="170"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1"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09"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5" fontId="14" fillId="0" borderId="0" xfId="0" applyNumberFormat="1" applyFont="1" applyAlignment="1">
      <alignment horizontal="center"/>
    </xf>
    <xf numFmtId="195"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88" fontId="7" fillId="13" borderId="47" xfId="0" applyNumberFormat="1" applyFont="1" applyFill="1" applyBorder="1" applyAlignment="1">
      <alignment horizontal="center"/>
    </xf>
    <xf numFmtId="188" fontId="7" fillId="13" borderId="45" xfId="0" applyNumberFormat="1" applyFont="1" applyFill="1" applyBorder="1" applyAlignment="1">
      <alignment horizontal="center"/>
    </xf>
    <xf numFmtId="188" fontId="7" fillId="0" borderId="0" xfId="0" applyNumberFormat="1" applyFont="1" applyAlignment="1">
      <alignment horizontal="center"/>
    </xf>
    <xf numFmtId="188" fontId="7" fillId="13" borderId="15" xfId="0" applyNumberFormat="1" applyFont="1" applyFill="1" applyBorder="1" applyAlignment="1">
      <alignment horizontal="center"/>
    </xf>
    <xf numFmtId="188"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4" fontId="7" fillId="15" borderId="76" xfId="0" applyNumberFormat="1" applyFont="1" applyFill="1" applyBorder="1"/>
    <xf numFmtId="184" fontId="7" fillId="15" borderId="0" xfId="0" applyNumberFormat="1" applyFont="1" applyFill="1"/>
    <xf numFmtId="184" fontId="7" fillId="15" borderId="33" xfId="0" applyNumberFormat="1"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6" fontId="7" fillId="15" borderId="77" xfId="0" applyNumberFormat="1" applyFont="1" applyFill="1" applyBorder="1"/>
    <xf numFmtId="186" fontId="7" fillId="15" borderId="16" xfId="0" applyNumberFormat="1" applyFont="1" applyFill="1" applyBorder="1"/>
    <xf numFmtId="186" fontId="7" fillId="15" borderId="78" xfId="0" applyNumberFormat="1" applyFont="1" applyFill="1" applyBorder="1"/>
    <xf numFmtId="185" fontId="7" fillId="15" borderId="76" xfId="0" applyNumberFormat="1" applyFont="1" applyFill="1" applyBorder="1"/>
    <xf numFmtId="185" fontId="7" fillId="15" borderId="0" xfId="0" applyNumberFormat="1" applyFont="1" applyFill="1"/>
    <xf numFmtId="185" fontId="7" fillId="15" borderId="33" xfId="0" applyNumberFormat="1" applyFont="1" applyFill="1" applyBorder="1"/>
    <xf numFmtId="184" fontId="7" fillId="15" borderId="79" xfId="0" applyNumberFormat="1" applyFont="1" applyFill="1" applyBorder="1"/>
    <xf numFmtId="184" fontId="7" fillId="15" borderId="29" xfId="0" applyNumberFormat="1" applyFont="1" applyFill="1" applyBorder="1"/>
    <xf numFmtId="184" fontId="7" fillId="15" borderId="80" xfId="0" applyNumberFormat="1" applyFont="1" applyFill="1" applyBorder="1"/>
    <xf numFmtId="4" fontId="24" fillId="0" borderId="0" xfId="0" applyNumberFormat="1" applyFont="1" applyAlignment="1">
      <alignment horizontal="right"/>
    </xf>
    <xf numFmtId="184" fontId="7" fillId="0" borderId="9" xfId="0" applyNumberFormat="1" applyFont="1" applyBorder="1"/>
    <xf numFmtId="168" fontId="7" fillId="0" borderId="9" xfId="0" applyNumberFormat="1" applyFont="1" applyBorder="1"/>
    <xf numFmtId="210" fontId="7" fillId="0" borderId="6" xfId="0" applyNumberFormat="1" applyFont="1" applyBorder="1"/>
    <xf numFmtId="211"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1" fontId="14" fillId="0" borderId="9" xfId="0" applyNumberFormat="1" applyFont="1" applyBorder="1"/>
    <xf numFmtId="171" fontId="7" fillId="0" borderId="9" xfId="0" applyNumberFormat="1" applyFont="1" applyBorder="1"/>
    <xf numFmtId="169"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0" fontId="7" fillId="5" borderId="6" xfId="0" applyNumberFormat="1" applyFont="1" applyFill="1" applyBorder="1" applyAlignment="1">
      <alignment horizontal="center"/>
    </xf>
    <xf numFmtId="211"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88" fontId="16" fillId="0" borderId="0" xfId="0" applyNumberFormat="1" applyFont="1" applyAlignment="1">
      <alignment horizontal="center"/>
    </xf>
    <xf numFmtId="173" fontId="14" fillId="0" borderId="0" xfId="0" applyNumberFormat="1" applyFont="1" applyAlignment="1">
      <alignment horizontal="center"/>
    </xf>
    <xf numFmtId="10" fontId="16" fillId="0" borderId="0" xfId="0" applyNumberFormat="1" applyFont="1" applyAlignment="1">
      <alignment horizontal="center"/>
    </xf>
    <xf numFmtId="170" fontId="7" fillId="5" borderId="6" xfId="0" applyNumberFormat="1" applyFont="1" applyFill="1" applyBorder="1" applyAlignment="1">
      <alignment horizontal="center"/>
    </xf>
    <xf numFmtId="210"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212" fontId="16" fillId="0" borderId="0" xfId="0" applyNumberFormat="1" applyFont="1"/>
    <xf numFmtId="169" fontId="13" fillId="0" borderId="0" xfId="0" applyNumberFormat="1" applyFont="1"/>
    <xf numFmtId="201" fontId="7" fillId="0" borderId="16" xfId="0" applyNumberFormat="1" applyFont="1" applyBorder="1" applyAlignment="1">
      <alignment horizontal="center"/>
    </xf>
    <xf numFmtId="201"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5" fontId="7" fillId="0" borderId="47" xfId="0" applyNumberFormat="1" applyFont="1" applyBorder="1" applyAlignment="1">
      <alignment horizontal="center"/>
    </xf>
    <xf numFmtId="195" fontId="7" fillId="0" borderId="21" xfId="0" applyNumberFormat="1" applyFont="1" applyBorder="1" applyAlignment="1">
      <alignment horizontal="center"/>
    </xf>
    <xf numFmtId="195"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5" fontId="7" fillId="0" borderId="8" xfId="0" applyNumberFormat="1" applyFont="1" applyBorder="1" applyAlignment="1">
      <alignment horizontal="center"/>
    </xf>
    <xf numFmtId="195" fontId="13" fillId="2" borderId="0" xfId="0" applyNumberFormat="1" applyFont="1" applyFill="1" applyAlignment="1">
      <alignment horizontal="center"/>
    </xf>
    <xf numFmtId="195"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5" fontId="7" fillId="0" borderId="0" xfId="0" applyNumberFormat="1" applyFont="1" applyAlignment="1">
      <alignment horizontal="center"/>
    </xf>
    <xf numFmtId="195" fontId="7" fillId="0" borderId="15" xfId="0" applyNumberFormat="1" applyFont="1" applyBorder="1" applyAlignment="1">
      <alignment horizontal="center"/>
    </xf>
    <xf numFmtId="195" fontId="7" fillId="0" borderId="16" xfId="0" applyNumberFormat="1" applyFont="1" applyBorder="1" applyAlignment="1">
      <alignment horizontal="center"/>
    </xf>
    <xf numFmtId="195"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88"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5"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5" fontId="7" fillId="0" borderId="45" xfId="0" applyNumberFormat="1" applyFont="1" applyBorder="1"/>
    <xf numFmtId="195" fontId="7" fillId="0" borderId="17" xfId="0" applyNumberFormat="1" applyFont="1" applyBorder="1"/>
    <xf numFmtId="37" fontId="7" fillId="0" borderId="17" xfId="0" applyNumberFormat="1" applyFont="1" applyBorder="1"/>
    <xf numFmtId="169" fontId="4" fillId="5" borderId="6" xfId="0" applyNumberFormat="1" applyFont="1" applyFill="1" applyBorder="1" applyAlignment="1">
      <alignment horizontal="center"/>
    </xf>
    <xf numFmtId="183" fontId="37" fillId="0" borderId="0" xfId="0" applyNumberFormat="1" applyFont="1" applyAlignment="1">
      <alignment horizontal="center"/>
    </xf>
    <xf numFmtId="183"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0" fontId="16" fillId="0" borderId="0" xfId="0" applyNumberFormat="1" applyFont="1" applyAlignment="1">
      <alignment horizontal="center"/>
    </xf>
    <xf numFmtId="169" fontId="7" fillId="0" borderId="9" xfId="0" applyNumberFormat="1" applyFont="1" applyBorder="1"/>
    <xf numFmtId="169" fontId="16" fillId="0" borderId="9" xfId="0" applyNumberFormat="1" applyFont="1" applyBorder="1"/>
    <xf numFmtId="168" fontId="16" fillId="0" borderId="9" xfId="0" applyNumberFormat="1" applyFont="1" applyBorder="1"/>
    <xf numFmtId="186" fontId="14" fillId="0" borderId="9" xfId="0" applyNumberFormat="1" applyFont="1" applyBorder="1"/>
    <xf numFmtId="186"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1"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88" fontId="16" fillId="0" borderId="8" xfId="0" applyNumberFormat="1" applyFont="1" applyBorder="1" applyAlignment="1">
      <alignment horizontal="center"/>
    </xf>
    <xf numFmtId="188"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5" fontId="7" fillId="0" borderId="0" xfId="0" applyNumberFormat="1" applyFont="1"/>
    <xf numFmtId="0" fontId="7" fillId="0" borderId="34" xfId="0" applyFont="1" applyBorder="1"/>
    <xf numFmtId="167" fontId="40" fillId="0" borderId="0" xfId="0" applyNumberFormat="1" applyFont="1"/>
    <xf numFmtId="213" fontId="16" fillId="0" borderId="0" xfId="0" applyNumberFormat="1" applyFont="1"/>
    <xf numFmtId="0" fontId="7" fillId="0" borderId="38" xfId="0" applyFont="1" applyBorder="1"/>
    <xf numFmtId="214" fontId="40" fillId="0" borderId="0" xfId="0" applyNumberFormat="1" applyFont="1"/>
    <xf numFmtId="0" fontId="14" fillId="0" borderId="34" xfId="0" applyFont="1" applyBorder="1"/>
    <xf numFmtId="214" fontId="41" fillId="0" borderId="0" xfId="0" applyNumberFormat="1" applyFont="1"/>
    <xf numFmtId="214" fontId="24" fillId="0" borderId="0" xfId="0" applyNumberFormat="1" applyFont="1"/>
    <xf numFmtId="169"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3" fontId="24" fillId="0" borderId="6" xfId="0" applyNumberFormat="1" applyFont="1" applyBorder="1"/>
    <xf numFmtId="215"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6" fontId="16" fillId="0" borderId="7" xfId="0" applyNumberFormat="1" applyFont="1" applyBorder="1" applyAlignment="1">
      <alignment horizontal="center" vertical="center" wrapText="1"/>
    </xf>
    <xf numFmtId="216" fontId="7" fillId="0" borderId="7" xfId="0" applyNumberFormat="1" applyFont="1" applyBorder="1" applyAlignment="1">
      <alignment horizontal="center" vertical="center" wrapText="1"/>
    </xf>
    <xf numFmtId="216" fontId="7" fillId="0" borderId="3" xfId="0" applyNumberFormat="1" applyFont="1" applyBorder="1" applyAlignment="1">
      <alignment horizontal="center" vertical="center" wrapText="1"/>
    </xf>
    <xf numFmtId="14" fontId="16" fillId="0" borderId="0" xfId="0" applyNumberFormat="1" applyFont="1"/>
    <xf numFmtId="172" fontId="16" fillId="0" borderId="0" xfId="0" applyNumberFormat="1" applyFont="1"/>
    <xf numFmtId="174" fontId="7" fillId="0" borderId="45" xfId="0" applyNumberFormat="1" applyFont="1" applyBorder="1" applyAlignment="1">
      <alignment horizontal="center"/>
    </xf>
    <xf numFmtId="175" fontId="7" fillId="0" borderId="9" xfId="0" applyNumberFormat="1" applyFont="1" applyBorder="1" applyAlignment="1">
      <alignment horizontal="center"/>
    </xf>
    <xf numFmtId="175"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4" fontId="14" fillId="0" borderId="0" xfId="0" applyNumberFormat="1" applyFont="1"/>
    <xf numFmtId="214" fontId="56" fillId="0" borderId="0" xfId="0" applyNumberFormat="1" applyFont="1"/>
    <xf numFmtId="214" fontId="7" fillId="0" borderId="0" xfId="0" applyNumberFormat="1" applyFont="1"/>
    <xf numFmtId="214" fontId="51" fillId="0" borderId="0" xfId="0" applyNumberFormat="1" applyFont="1"/>
    <xf numFmtId="0" fontId="51" fillId="0" borderId="0" xfId="0" applyFont="1" applyAlignment="1">
      <alignment horizontal="right"/>
    </xf>
    <xf numFmtId="217" fontId="14" fillId="0" borderId="0" xfId="0" applyNumberFormat="1" applyFont="1"/>
    <xf numFmtId="217" fontId="56" fillId="0" borderId="0" xfId="0" applyNumberFormat="1" applyFont="1"/>
    <xf numFmtId="217" fontId="7" fillId="0" borderId="0" xfId="0" applyNumberFormat="1" applyFont="1"/>
    <xf numFmtId="217" fontId="51" fillId="0" borderId="0" xfId="0" applyNumberFormat="1" applyFont="1"/>
    <xf numFmtId="173"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4" fontId="14" fillId="0" borderId="0" xfId="0" applyNumberFormat="1" applyFont="1" applyAlignment="1">
      <alignment horizontal="center"/>
    </xf>
    <xf numFmtId="184" fontId="16" fillId="0" borderId="0" xfId="0" applyNumberFormat="1" applyFont="1" applyAlignment="1">
      <alignment horizontal="center"/>
    </xf>
    <xf numFmtId="204" fontId="7" fillId="0" borderId="61" xfId="0" applyNumberFormat="1" applyFont="1" applyBorder="1" applyAlignment="1">
      <alignment horizontal="center"/>
    </xf>
    <xf numFmtId="171" fontId="14" fillId="0" borderId="0" xfId="0" applyNumberFormat="1" applyFont="1" applyAlignment="1">
      <alignment horizontal="center"/>
    </xf>
    <xf numFmtId="171" fontId="16" fillId="0" borderId="0" xfId="0" applyNumberFormat="1" applyFont="1" applyAlignment="1">
      <alignment horizontal="center"/>
    </xf>
    <xf numFmtId="173" fontId="40" fillId="0" borderId="0" xfId="0" applyNumberFormat="1" applyFont="1" applyAlignment="1">
      <alignment horizontal="center"/>
    </xf>
    <xf numFmtId="173" fontId="41" fillId="0" borderId="0" xfId="0" applyNumberFormat="1" applyFont="1" applyAlignment="1">
      <alignment horizontal="center"/>
    </xf>
    <xf numFmtId="204" fontId="24" fillId="0" borderId="61" xfId="0" applyNumberFormat="1" applyFont="1" applyBorder="1" applyAlignment="1">
      <alignment horizontal="center"/>
    </xf>
    <xf numFmtId="204" fontId="24" fillId="0" borderId="0" xfId="0" applyNumberFormat="1" applyFont="1" applyAlignment="1">
      <alignment horizontal="center"/>
    </xf>
    <xf numFmtId="173" fontId="24" fillId="0" borderId="0" xfId="0" applyNumberFormat="1" applyFont="1" applyAlignment="1">
      <alignment horizontal="center"/>
    </xf>
    <xf numFmtId="169" fontId="14" fillId="0" borderId="0" xfId="0" applyNumberFormat="1" applyFont="1" applyAlignment="1">
      <alignment horizontal="center"/>
    </xf>
    <xf numFmtId="169" fontId="16" fillId="0" borderId="0" xfId="0" applyNumberFormat="1" applyFont="1" applyAlignment="1">
      <alignment horizontal="center"/>
    </xf>
    <xf numFmtId="171" fontId="14" fillId="0" borderId="1" xfId="0" applyNumberFormat="1" applyFont="1" applyBorder="1" applyAlignment="1">
      <alignment horizontal="center"/>
    </xf>
    <xf numFmtId="171" fontId="16" fillId="0" borderId="1" xfId="0" applyNumberFormat="1" applyFont="1" applyBorder="1" applyAlignment="1">
      <alignment horizontal="center"/>
    </xf>
    <xf numFmtId="204" fontId="7" fillId="0" borderId="62" xfId="0" applyNumberFormat="1" applyFont="1" applyBorder="1" applyAlignment="1">
      <alignment horizontal="center"/>
    </xf>
    <xf numFmtId="186" fontId="14" fillId="0" borderId="1" xfId="0" applyNumberFormat="1" applyFont="1" applyBorder="1" applyAlignment="1">
      <alignment horizontal="center"/>
    </xf>
    <xf numFmtId="186" fontId="16" fillId="0" borderId="1" xfId="0" applyNumberFormat="1" applyFont="1" applyBorder="1" applyAlignment="1">
      <alignment horizontal="center"/>
    </xf>
    <xf numFmtId="0" fontId="57" fillId="0" borderId="0" xfId="0" applyFont="1" applyAlignment="1">
      <alignment horizontal="center"/>
    </xf>
    <xf numFmtId="204" fontId="7" fillId="0" borderId="39" xfId="0" applyNumberFormat="1" applyFont="1" applyBorder="1" applyAlignment="1">
      <alignment horizontal="center"/>
    </xf>
    <xf numFmtId="204"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c>
      <c r="Q11" s="32">
        <f>Valuation!N138</f>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c>
      <c r="M13" s="16"/>
      <c r="N13" s="39" t="s">
        <v>19</v>
      </c>
      <c r="O13" s="37"/>
      <c r="P13" s="40">
        <f>Valuation!N215</f>
      </c>
      <c r="Q13" s="38">
        <f>Valuation!N216</f>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c>
      <c r="Q18" s="32">
        <f>Valuation!F127</f>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c>
      <c r="M20" s="16"/>
      <c r="N20" s="39" t="s">
        <v>27</v>
      </c>
      <c r="O20" s="37"/>
      <c r="P20" s="40">
        <f>Valuation!F204</f>
      </c>
      <c r="Q20" s="38">
        <f>Valuation!F205</f>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46022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233.18</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215.22</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146.72</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c>
      <c r="O19" s="116">
        <f>Model!Z45</f>
      </c>
      <c r="P19" s="116">
        <f>Model!AA45</f>
      </c>
      <c r="Q19" s="116">
        <f>Model!AB45</f>
      </c>
      <c r="R19" s="116">
        <f>Model!AC45</f>
      </c>
      <c r="S19" s="16"/>
      <c r="T19" s="116">
        <f>Model!J45</f>
        <v>2314</v>
      </c>
      <c r="U19" s="116">
        <f>Model!O45</f>
        <v>4281</v>
      </c>
      <c r="V19" s="117">
        <f>Model!T45</f>
        <v>5835</v>
      </c>
      <c r="W19" s="116">
        <f>Model!Y45</f>
      </c>
      <c r="X19" s="116">
        <f>Model!AD45</f>
      </c>
      <c r="Y19" s="116">
        <f>Model!AE45</f>
      </c>
      <c r="Z19" s="116">
        <f>Model!AF45</f>
      </c>
      <c r="AA19" s="116">
        <f>Model!AG45</f>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c>
      <c r="O20" s="121">
        <f>O19/O$8</f>
      </c>
      <c r="P20" s="121">
        <f>P19/P$8</f>
      </c>
      <c r="Q20" s="121">
        <f>Q19/Q$8</f>
      </c>
      <c r="R20" s="121">
        <f>R19/R$8</f>
      </c>
      <c r="S20" s="16"/>
      <c r="T20" s="121">
        <f t="shared" ref="T20:AA20" si="11">T19/T$8</f>
        <v>0.03245032183875808</v>
      </c>
      <c r="U20" s="121">
        <f>U19/U$8</f>
        <v>0.059336364140378114</v>
      </c>
      <c r="V20" s="122">
        <f>V19/V$8</f>
        <v>0.06512494837996807</v>
      </c>
      <c r="W20" s="121">
        <f>W19/W$8</f>
      </c>
      <c r="X20" s="121">
        <f>X19/X$8</f>
      </c>
      <c r="Y20" s="121">
        <f>Y19/Y$8</f>
      </c>
      <c r="Z20" s="121">
        <f>Z19/Z$8</f>
      </c>
      <c r="AA20" s="121">
        <f>AA19/AA$8</f>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c>
      <c r="O21" s="121">
        <f>O19/K19-1</f>
      </c>
      <c r="P21" s="121">
        <f>P19/L19-1</f>
      </c>
      <c r="Q21" s="121">
        <f>Q19/M19-1</f>
      </c>
      <c r="R21" s="121">
        <f>R19/N19-1</f>
      </c>
      <c r="S21" s="16"/>
      <c r="T21" s="121"/>
      <c r="U21" s="121">
        <f t="shared" ref="U21:AA21" si="13">U19/T19-1</f>
        <v>0.8500432152117545</v>
      </c>
      <c r="V21" s="122">
        <f>V19/U19-1</f>
        <v>0.362999299229152</v>
      </c>
      <c r="W21" s="121">
        <f>W19/V19-1</f>
      </c>
      <c r="X21" s="121">
        <f>X19/W19-1</f>
      </c>
      <c r="Y21" s="121">
        <f>Y19/X19-1</f>
      </c>
      <c r="Z21" s="121">
        <f>Z19/Y19-1</f>
      </c>
      <c r="AA21" s="121">
        <f>AA19/Z19-1</f>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c>
      <c r="O23" s="127">
        <f>Model!Z57</f>
      </c>
      <c r="P23" s="127">
        <f>Model!AA57</f>
      </c>
      <c r="Q23" s="127">
        <f>Model!AB57</f>
      </c>
      <c r="R23" s="127">
        <f>Model!AC57</f>
      </c>
      <c r="S23" s="127"/>
      <c r="T23" s="127">
        <f>Model!J57</f>
        <v>5.194244694132335</v>
      </c>
      <c r="U23" s="127">
        <f>Model!O57</f>
        <v>5.579900124843945</v>
      </c>
      <c r="V23" s="128">
        <f>Model!T57</f>
        <v>8.875826666666669</v>
      </c>
      <c r="W23" s="127">
        <f>Model!Y57</f>
      </c>
      <c r="X23" s="127">
        <f>Model!AD57</f>
      </c>
      <c r="Y23" s="127">
        <f>Model!AE57</f>
      </c>
      <c r="Z23" s="127">
        <f>Model!AF57</f>
      </c>
      <c r="AA23" s="127">
        <f>Model!AG57</f>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c>
      <c r="O24" s="121">
        <f>O23/K23-1</f>
      </c>
      <c r="P24" s="121">
        <f>P23/L23-1</f>
      </c>
      <c r="Q24" s="121">
        <f>Q23/M23-1</f>
      </c>
      <c r="R24" s="121">
        <f>R23/N23-1</f>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c>
      <c r="O27" s="116">
        <f>Model!Z61</f>
      </c>
      <c r="P27" s="116">
        <f>Model!AA61</f>
      </c>
      <c r="Q27" s="116">
        <f>Model!AB61</f>
      </c>
      <c r="R27" s="116">
        <f>Model!AC61</f>
      </c>
      <c r="S27" s="16"/>
      <c r="T27" s="116">
        <f>Model!J61</f>
        <v>7341.59</v>
      </c>
      <c r="U27" s="116">
        <f>Model!O61</f>
        <v>7764.5</v>
      </c>
      <c r="V27" s="117">
        <f>Model!T61</f>
        <v>13111.87</v>
      </c>
      <c r="W27" s="116">
        <f>Model!Y61</f>
      </c>
      <c r="X27" s="116">
        <f>Model!AD61</f>
      </c>
      <c r="Y27" s="116">
        <f>Model!AE61</f>
      </c>
      <c r="Z27" s="116">
        <f>Model!AF61</f>
      </c>
      <c r="AA27" s="116">
        <f>Model!AG61</f>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c>
      <c r="O28" s="121">
        <f>O27/O$8</f>
      </c>
      <c r="P28" s="121">
        <f>P27/P$8</f>
      </c>
      <c r="Q28" s="121">
        <f>Q27/Q$8</f>
      </c>
      <c r="R28" s="121">
        <f>R27/R$8</f>
      </c>
      <c r="S28" s="16"/>
      <c r="T28" s="121">
        <f t="shared" ref="T28:AA28" si="17">T27/T$8</f>
        <v>0.10295460601046151</v>
      </c>
      <c r="U28" s="121">
        <f>U27/U$8</f>
        <v>0.10761906081942674</v>
      </c>
      <c r="V28" s="122">
        <f>V27/V$8</f>
        <v>0.14634273468977757</v>
      </c>
      <c r="W28" s="121">
        <f>W27/W$8</f>
      </c>
      <c r="X28" s="121">
        <f>X27/X$8</f>
      </c>
      <c r="Y28" s="121">
        <f>Y27/Y$8</f>
      </c>
      <c r="Z28" s="121">
        <f>Z27/Z$8</f>
      </c>
      <c r="AA28" s="121">
        <f>AA27/AA$8</f>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c>
      <c r="O29" s="121">
        <f>O27/K27-1</f>
      </c>
      <c r="P29" s="121">
        <f>P27/L27-1</f>
      </c>
      <c r="Q29" s="121">
        <f>Q27/M27-1</f>
      </c>
      <c r="R29" s="121">
        <f>R27/N27-1</f>
      </c>
      <c r="S29" s="16"/>
      <c r="T29" s="121"/>
      <c r="U29" s="121">
        <f t="shared" ref="U29:AA29" si="19">U27/T27-1</f>
        <v>0.05760468781285799</v>
      </c>
      <c r="V29" s="122">
        <f>V27/U27-1</f>
        <v>0.688694700238264</v>
      </c>
      <c r="W29" s="121">
        <f>W27/V27-1</f>
      </c>
      <c r="X29" s="121">
        <f>X27/W27-1</f>
      </c>
      <c r="Y29" s="121">
        <f>Y27/X27-1</f>
      </c>
      <c r="Z29" s="121">
        <f>Z27/Y27-1</f>
      </c>
      <c r="AA29" s="121">
        <f>AA27/Z27-1</f>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c>
      <c r="O34" s="116">
        <f>Model!Z120</f>
      </c>
      <c r="P34" s="116">
        <f>Model!AA120</f>
      </c>
      <c r="Q34" s="116">
        <f>Model!AB120</f>
      </c>
      <c r="R34" s="116">
        <f>Model!AC120</f>
      </c>
      <c r="S34" s="16"/>
      <c r="T34" s="116">
        <f>Model!J120</f>
        <v>729</v>
      </c>
      <c r="U34" s="116">
        <f>Model!O120</f>
        <v>876</v>
      </c>
      <c r="V34" s="117">
        <f>Model!T120</f>
        <v>5196</v>
      </c>
      <c r="W34" s="116">
        <f>Model!Y120</f>
      </c>
      <c r="X34" s="116">
        <f>Model!AD120</f>
      </c>
      <c r="Y34" s="116">
        <f>Model!AE120</f>
      </c>
      <c r="Z34" s="116">
        <f>Model!AF120</f>
      </c>
      <c r="AA34" s="116">
        <f>Model!AG120</f>
      </c>
      <c r="AB34" s="16"/>
      <c r="AC34" s="16"/>
      <c r="AD34" s="16"/>
      <c r="AE34" s="16"/>
    </row>
    <row r="35" ht="13.5" customHeight="1" spans="1:31" x14ac:dyDescent="0.25">
      <c r="A35" s="17"/>
      <c r="B35" s="16"/>
      <c r="C35" s="16" t="str">
        <f>Model!C121</f>
        <v>Accounts Receivable</v>
      </c>
      <c r="D35" s="16"/>
      <c r="E35" s="16"/>
      <c r="F35" s="16"/>
      <c r="G35" s="136">
        <f>Model!P121</f>
        <v>0</v>
      </c>
      <c r="H35" s="136">
        <f>Model!Q121</f>
        <v>0</v>
      </c>
      <c r="I35" s="136">
        <f>Model!R121</f>
        <v>0</v>
      </c>
      <c r="J35" s="137">
        <f>Model!S121</f>
        <v>0</v>
      </c>
      <c r="K35" s="136">
        <f>Model!U121</f>
        <v>0</v>
      </c>
      <c r="L35" s="136">
        <f>Model!V121</f>
        <v>0</v>
      </c>
      <c r="M35" s="136">
        <f>Model!W121</f>
        <v>0</v>
      </c>
      <c r="N35" s="138">
        <f>Model!X121</f>
        <v>0</v>
      </c>
      <c r="O35" s="136">
        <f>Model!Z121</f>
        <v>0</v>
      </c>
      <c r="P35" s="136">
        <f>Model!AA121</f>
        <v>0</v>
      </c>
      <c r="Q35" s="136">
        <f>Model!AB121</f>
        <v>0</v>
      </c>
      <c r="R35" s="136">
        <f>Model!AC121</f>
        <v>0</v>
      </c>
      <c r="S35" s="16"/>
      <c r="T35" s="136">
        <f>Model!J121</f>
        <v>0</v>
      </c>
      <c r="U35" s="136">
        <f>Model!O121</f>
        <v>0</v>
      </c>
      <c r="V35" s="137">
        <f>Model!T121</f>
        <v>0</v>
      </c>
      <c r="W35" s="136">
        <f>Model!Y121</f>
        <v>0</v>
      </c>
      <c r="X35" s="136">
        <f>Model!AD121</f>
        <v>0</v>
      </c>
      <c r="Y35" s="136">
        <f>Model!AE121</f>
        <v>0</v>
      </c>
      <c r="Z35" s="136">
        <f>Model!AF121</f>
        <v>0</v>
      </c>
      <c r="AA35" s="136">
        <f>Model!AG121</f>
        <v>0</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0</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0</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c>
      <c r="O38" s="140">
        <f>SUM(O34:O37)</f>
      </c>
      <c r="P38" s="140">
        <f>SUM(P34:P37)</f>
      </c>
      <c r="Q38" s="140">
        <f>SUM(Q34:Q37)</f>
      </c>
      <c r="R38" s="140">
        <f>SUM(R34:R37)</f>
      </c>
      <c r="S38" s="16"/>
      <c r="T38" s="140">
        <f t="shared" ref="T38:AA38" si="23">SUM(T34:T37)</f>
        <v>14228</v>
      </c>
      <c r="U38" s="140">
        <f>SUM(U34:U37)</f>
        <v>15318</v>
      </c>
      <c r="V38" s="141">
        <f>SUM(V34:V37)</f>
        <v>22326</v>
      </c>
      <c r="W38" s="140">
        <f>SUM(W34:W37)</f>
      </c>
      <c r="X38" s="140">
        <f>SUM(X34:X37)</f>
      </c>
      <c r="Y38" s="140">
        <f>SUM(Y34:Y37)</f>
      </c>
      <c r="Z38" s="140">
        <f>SUM(Z34:Z37)</f>
      </c>
      <c r="AA38" s="140">
        <f>SUM(AA34:AA37)</f>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0</v>
      </c>
      <c r="H41" s="136">
        <f>Model!Q127</f>
        <v>0</v>
      </c>
      <c r="I41" s="136">
        <f>Model!R127</f>
        <v>0</v>
      </c>
      <c r="J41" s="137">
        <f>Model!S127</f>
        <v>0</v>
      </c>
      <c r="K41" s="136">
        <f>Model!U127</f>
        <v>0</v>
      </c>
      <c r="L41" s="136">
        <f>Model!V127</f>
        <v>0</v>
      </c>
      <c r="M41" s="136">
        <f>Model!W127</f>
        <v>0</v>
      </c>
      <c r="N41" s="138">
        <f>Model!X127</f>
        <v>0</v>
      </c>
      <c r="O41" s="136">
        <f>Model!Z127</f>
        <v>0</v>
      </c>
      <c r="P41" s="136">
        <f>Model!AA127</f>
        <v>0</v>
      </c>
      <c r="Q41" s="136">
        <f>Model!AB127</f>
        <v>0</v>
      </c>
      <c r="R41" s="136">
        <f>Model!AC127</f>
        <v>0</v>
      </c>
      <c r="S41" s="16"/>
      <c r="T41" s="136">
        <f>Model!J127</f>
        <v>0</v>
      </c>
      <c r="U41" s="136">
        <f>Model!O127</f>
        <v>0</v>
      </c>
      <c r="V41" s="137">
        <f>Model!T127</f>
        <v>0</v>
      </c>
      <c r="W41" s="136">
        <f>Model!Y127</f>
        <v>0</v>
      </c>
      <c r="X41" s="136">
        <f>Model!AD127</f>
        <v>0</v>
      </c>
      <c r="Y41" s="136">
        <f>Model!AE127</f>
        <v>0</v>
      </c>
      <c r="Z41" s="136">
        <f>Model!AF127</f>
        <v>0</v>
      </c>
      <c r="AA41" s="136">
        <f>Model!AG127</f>
        <v>0</v>
      </c>
      <c r="AB41" s="16"/>
      <c r="AC41" s="16"/>
      <c r="AD41" s="16"/>
      <c r="AE41" s="16"/>
    </row>
    <row r="42" ht="13.5" customHeight="1" spans="1:31" x14ac:dyDescent="0.25">
      <c r="A42" s="17"/>
      <c r="B42" s="16"/>
      <c r="C42" s="16" t="str">
        <f>Model!C128</f>
        <v>Goodwill</v>
      </c>
      <c r="D42" s="16"/>
      <c r="E42" s="16"/>
      <c r="F42" s="16"/>
      <c r="G42" s="136">
        <f>Model!P128</f>
        <v>0</v>
      </c>
      <c r="H42" s="136">
        <f>Model!Q128</f>
        <v>0</v>
      </c>
      <c r="I42" s="136">
        <f>Model!R128</f>
        <v>0</v>
      </c>
      <c r="J42" s="137">
        <f>Model!S128</f>
        <v>311</v>
      </c>
      <c r="K42" s="136">
        <f>Model!U128</f>
        <v>0</v>
      </c>
      <c r="L42" s="136">
        <f>Model!V128</f>
        <v>0</v>
      </c>
      <c r="M42" s="136">
        <f>Model!W128</f>
        <v>0</v>
      </c>
      <c r="N42" s="138">
        <f>Model!X128</f>
        <v>0</v>
      </c>
      <c r="O42" s="136">
        <f>Model!Z128</f>
        <v>0</v>
      </c>
      <c r="P42" s="136">
        <f>Model!AA128</f>
        <v>0</v>
      </c>
      <c r="Q42" s="136">
        <f>Model!AB128</f>
        <v>0</v>
      </c>
      <c r="R42" s="136">
        <f>Model!AC128</f>
        <v>0</v>
      </c>
      <c r="S42" s="16"/>
      <c r="T42" s="136">
        <f>Model!J128</f>
        <v>303</v>
      </c>
      <c r="U42" s="136">
        <f>Model!O128</f>
        <v>303</v>
      </c>
      <c r="V42" s="137">
        <f>Model!T128</f>
        <v>311</v>
      </c>
      <c r="W42" s="136">
        <f>Model!Y128</f>
        <v>0</v>
      </c>
      <c r="X42" s="136">
        <f>Model!AD128</f>
        <v>0</v>
      </c>
      <c r="Y42" s="136">
        <f>Model!AE128</f>
        <v>0</v>
      </c>
      <c r="Z42" s="136">
        <f>Model!AF128</f>
        <v>0</v>
      </c>
      <c r="AA42" s="136">
        <f>Model!AG128</f>
        <v>0</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c>
      <c r="O46" s="146">
        <f>SUM(O38,O44)</f>
      </c>
      <c r="P46" s="146">
        <f>SUM(P38,P44)</f>
      </c>
      <c r="Q46" s="146">
        <f>SUM(Q38,Q44)</f>
      </c>
      <c r="R46" s="146">
        <f>SUM(R38,R44)</f>
      </c>
      <c r="S46" s="149"/>
      <c r="T46" s="146">
        <f t="shared" ref="T46:AA46" si="27">SUM(T38,T44)</f>
        <v>34508</v>
      </c>
      <c r="U46" s="146">
        <f>SUM(U38,U44)</f>
        <v>39471</v>
      </c>
      <c r="V46" s="147">
        <f>SUM(V38,V44)</f>
        <v>46735</v>
      </c>
      <c r="W46" s="146">
        <f>SUM(W38,W44)</f>
      </c>
      <c r="X46" s="146">
        <f>SUM(X38,X44)</f>
      </c>
      <c r="Y46" s="146">
        <f>SUM(Y38,Y44)</f>
      </c>
      <c r="Z46" s="146">
        <f>SUM(Z38,Z44)</f>
      </c>
      <c r="AA46" s="146">
        <f>SUM(AA38,AA44)</f>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0</v>
      </c>
      <c r="H53" s="116">
        <f>Model!Q139</f>
        <v>0</v>
      </c>
      <c r="I53" s="116">
        <f>Model!R139</f>
        <v>0</v>
      </c>
      <c r="J53" s="117">
        <f>Model!S139</f>
        <v>0</v>
      </c>
      <c r="K53" s="116">
        <f>Model!U139</f>
        <v>0</v>
      </c>
      <c r="L53" s="116">
        <f>Model!V139</f>
        <v>0</v>
      </c>
      <c r="M53" s="116">
        <f>Model!W139</f>
        <v>0</v>
      </c>
      <c r="N53" s="118">
        <f>Model!X139</f>
      </c>
      <c r="O53" s="116">
        <f>Model!Z139</f>
      </c>
      <c r="P53" s="116">
        <f>Model!AA139</f>
      </c>
      <c r="Q53" s="116">
        <f>Model!AB139</f>
      </c>
      <c r="R53" s="116">
        <f>Model!AC139</f>
      </c>
      <c r="S53" s="16"/>
      <c r="T53" s="116">
        <f>Model!J139</f>
        <v>0</v>
      </c>
      <c r="U53" s="116">
        <f>Model!O139</f>
        <v>0</v>
      </c>
      <c r="V53" s="117">
        <f>Model!T139</f>
        <v>0</v>
      </c>
      <c r="W53" s="116">
        <f>Model!Y139</f>
      </c>
      <c r="X53" s="116">
        <f>Model!AD139</f>
      </c>
      <c r="Y53" s="116">
        <f>Model!AE139</f>
      </c>
      <c r="Z53" s="116">
        <f>Model!AF139</f>
      </c>
      <c r="AA53" s="116">
        <f>Model!AG139</f>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0</v>
      </c>
      <c r="H55" s="136">
        <f>Model!Q141</f>
        <v>0</v>
      </c>
      <c r="I55" s="136">
        <f>Model!R141</f>
        <v>0</v>
      </c>
      <c r="J55" s="137">
        <f>Model!S141</f>
        <v>168</v>
      </c>
      <c r="K55" s="136">
        <f>Model!U141</f>
        <v>0</v>
      </c>
      <c r="L55" s="136">
        <f>Model!V141</f>
        <v>0</v>
      </c>
      <c r="M55" s="136">
        <f>Model!W141</f>
        <v>0</v>
      </c>
      <c r="N55" s="138">
        <f>Model!X141</f>
        <v>0</v>
      </c>
      <c r="O55" s="136">
        <f>Model!Z141</f>
        <v>0</v>
      </c>
      <c r="P55" s="136">
        <f>Model!AA141</f>
        <v>0</v>
      </c>
      <c r="Q55" s="136">
        <f>Model!AB141</f>
        <v>0</v>
      </c>
      <c r="R55" s="136">
        <f>Model!AC141</f>
        <v>0</v>
      </c>
      <c r="S55" s="16"/>
      <c r="T55" s="136">
        <f>Model!J141</f>
        <v>0</v>
      </c>
      <c r="U55" s="136">
        <f>Model!O141</f>
        <v>0</v>
      </c>
      <c r="V55" s="137">
        <f>Model!T141</f>
        <v>168</v>
      </c>
      <c r="W55" s="136">
        <f>Model!Y141</f>
        <v>0</v>
      </c>
      <c r="X55" s="136">
        <f>Model!AD141</f>
        <v>0</v>
      </c>
      <c r="Y55" s="136">
        <f>Model!AE141</f>
        <v>0</v>
      </c>
      <c r="Z55" s="136">
        <f>Model!AF141</f>
        <v>0</v>
      </c>
      <c r="AA55" s="136">
        <f>Model!AG141</f>
        <v>0</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c>
      <c r="O59" s="140">
        <f>SUM(O51,O57)</f>
      </c>
      <c r="P59" s="140">
        <f>SUM(P51,P57)</f>
      </c>
      <c r="Q59" s="140">
        <f>SUM(Q51,Q57)</f>
      </c>
      <c r="R59" s="140">
        <f>SUM(R51,R57)</f>
      </c>
      <c r="S59" s="16"/>
      <c r="T59" s="140">
        <f t="shared" ref="T59:AA59" si="31">SUM(T51,T57)</f>
        <v>30864</v>
      </c>
      <c r="U59" s="140">
        <f>SUM(U51,U57)</f>
        <v>37499</v>
      </c>
      <c r="V59" s="141">
        <f>SUM(V51,V57)</f>
        <v>45298</v>
      </c>
      <c r="W59" s="140">
        <f>SUM(W51,W57)</f>
      </c>
      <c r="X59" s="140">
        <f>SUM(X51,X57)</f>
      </c>
      <c r="Y59" s="140">
        <f>SUM(Y51,Y57)</f>
      </c>
      <c r="Z59" s="140">
        <f>SUM(Z51,Z57)</f>
      </c>
      <c r="AA59" s="140">
        <f>SUM(AA51,AA57)</f>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c>
      <c r="O62" s="136">
        <f>Model!Z148</f>
      </c>
      <c r="P62" s="136">
        <f>Model!AA148</f>
      </c>
      <c r="Q62" s="136">
        <f>Model!AB148</f>
      </c>
      <c r="R62" s="136">
        <f>Model!AC148</f>
      </c>
      <c r="S62" s="16"/>
      <c r="T62" s="136">
        <f>Model!J148</f>
        <v>3452</v>
      </c>
      <c r="U62" s="136">
        <f>Model!O148</f>
        <v>1727</v>
      </c>
      <c r="V62" s="137">
        <f>Model!T148</f>
        <v>1117</v>
      </c>
      <c r="W62" s="136">
        <f>Model!Y148</f>
      </c>
      <c r="X62" s="136">
        <f>Model!AD148</f>
      </c>
      <c r="Y62" s="136">
        <f>Model!AE148</f>
      </c>
      <c r="Z62" s="136">
        <f>Model!AF148</f>
      </c>
      <c r="AA62" s="136">
        <f>Model!AG148</f>
      </c>
      <c r="AB62" s="16"/>
      <c r="AC62" s="16"/>
      <c r="AD62" s="16"/>
      <c r="AE62" s="16"/>
    </row>
    <row r="63" ht="13.5" customHeight="1" spans="1:31" x14ac:dyDescent="0.25">
      <c r="A63" s="17"/>
      <c r="B63" s="16"/>
      <c r="C63" s="16" t="str">
        <f>Model!C149</f>
        <v>Treasury Stock</v>
      </c>
      <c r="D63" s="16"/>
      <c r="E63" s="16"/>
      <c r="F63" s="16"/>
      <c r="G63" s="136">
        <f>Model!P149</f>
        <v>0</v>
      </c>
      <c r="H63" s="136">
        <f>Model!Q149</f>
        <v>0</v>
      </c>
      <c r="I63" s="136">
        <f>Model!R149</f>
        <v>0</v>
      </c>
      <c r="J63" s="137">
        <f>Model!S149</f>
        <v>0</v>
      </c>
      <c r="K63" s="136">
        <f>Model!U149</f>
        <v>0</v>
      </c>
      <c r="L63" s="136">
        <f>Model!V149</f>
        <v>0</v>
      </c>
      <c r="M63" s="136">
        <f>Model!W149</f>
        <v>0</v>
      </c>
      <c r="N63" s="138">
        <f>Model!X149</f>
        <v>-500</v>
      </c>
      <c r="O63" s="136">
        <f>Model!Z149</f>
        <v>-1000</v>
      </c>
      <c r="P63" s="136">
        <f>Model!AA149</f>
        <v>-1500</v>
      </c>
      <c r="Q63" s="136">
        <f>Model!AB149</f>
        <v>-2000</v>
      </c>
      <c r="R63" s="136">
        <f>Model!AC149</f>
        <v>-2500</v>
      </c>
      <c r="S63" s="16"/>
      <c r="T63" s="136">
        <f>Model!J149</f>
        <v>0</v>
      </c>
      <c r="U63" s="136">
        <f>Model!O149</f>
        <v>0</v>
      </c>
      <c r="V63" s="137">
        <f>Model!T149</f>
        <v>0</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c>
      <c r="O65" s="140">
        <f>SUM(O61:O64)</f>
      </c>
      <c r="P65" s="140">
        <f>SUM(P61:P64)</f>
      </c>
      <c r="Q65" s="140">
        <f>SUM(Q61:Q64)</f>
      </c>
      <c r="R65" s="140">
        <f>SUM(R61:R64)</f>
      </c>
      <c r="S65" s="16"/>
      <c r="T65" s="140">
        <f t="shared" ref="T65:AA65" si="33">SUM(T61:T64)</f>
        <v>3644</v>
      </c>
      <c r="U65" s="140">
        <f>SUM(U61:U64)</f>
        <v>1972</v>
      </c>
      <c r="V65" s="141">
        <f>SUM(V61:V64)</f>
        <v>1437</v>
      </c>
      <c r="W65" s="140">
        <f>SUM(W61:W64)</f>
      </c>
      <c r="X65" s="140">
        <f>SUM(X61:X64)</f>
      </c>
      <c r="Y65" s="140">
        <f>SUM(Y61:Y64)</f>
      </c>
      <c r="Z65" s="140">
        <f>SUM(Z61:Z64)</f>
      </c>
      <c r="AA65" s="140">
        <f>SUM(AA61:AA64)</f>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0</v>
      </c>
      <c r="H67" s="136">
        <f>Model!Q153</f>
        <v>0</v>
      </c>
      <c r="I67" s="136">
        <f>Model!R153</f>
        <v>0</v>
      </c>
      <c r="J67" s="137">
        <f>Model!S153</f>
        <v>0</v>
      </c>
      <c r="K67" s="136">
        <f>Model!U153</f>
        <v>0</v>
      </c>
      <c r="L67" s="136">
        <f>Model!V153</f>
        <v>0</v>
      </c>
      <c r="M67" s="136">
        <f>Model!W153</f>
        <v>0</v>
      </c>
      <c r="N67" s="138">
        <f>Model!X153</f>
        <v>0</v>
      </c>
      <c r="O67" s="136">
        <f>Model!Z153</f>
        <v>0</v>
      </c>
      <c r="P67" s="136">
        <f>Model!AA153</f>
        <v>0</v>
      </c>
      <c r="Q67" s="136">
        <f>Model!AB153</f>
        <v>0</v>
      </c>
      <c r="R67" s="136">
        <f>Model!AC153</f>
        <v>0</v>
      </c>
      <c r="S67" s="16"/>
      <c r="T67" s="136">
        <f>Model!J153</f>
        <v>0</v>
      </c>
      <c r="U67" s="136">
        <f>Model!O153</f>
        <v>0</v>
      </c>
      <c r="V67" s="137">
        <f>Model!T153</f>
        <v>0</v>
      </c>
      <c r="W67" s="136">
        <f>Model!Y153</f>
        <v>0</v>
      </c>
      <c r="X67" s="136">
        <f>Model!AD153</f>
        <v>0</v>
      </c>
      <c r="Y67" s="136">
        <f>Model!AE153</f>
        <v>0</v>
      </c>
      <c r="Z67" s="136">
        <f>Model!AF153</f>
        <v>0</v>
      </c>
      <c r="AA67" s="136">
        <f>Model!AG153</f>
        <v>0</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c>
      <c r="O68" s="140">
        <f>SUM(O65,O67)</f>
      </c>
      <c r="P68" s="140">
        <f>SUM(P65,P67)</f>
      </c>
      <c r="Q68" s="140">
        <f>SUM(Q65,Q67)</f>
      </c>
      <c r="R68" s="140">
        <f>SUM(R65,R67)</f>
      </c>
      <c r="S68" s="16"/>
      <c r="T68" s="140">
        <f t="shared" ref="T68:AA68" si="35">SUM(T65,T67)</f>
        <v>3644</v>
      </c>
      <c r="U68" s="140">
        <f>SUM(U65,U67)</f>
        <v>1972</v>
      </c>
      <c r="V68" s="141">
        <f>SUM(V65,V67)</f>
        <v>1437</v>
      </c>
      <c r="W68" s="140">
        <f>SUM(W65,W67)</f>
      </c>
      <c r="X68" s="140">
        <f>SUM(X65,X67)</f>
      </c>
      <c r="Y68" s="140">
        <f>SUM(Y65,Y67)</f>
      </c>
      <c r="Z68" s="140">
        <f>SUM(Z65,Z67)</f>
      </c>
      <c r="AA68" s="140">
        <f>SUM(AA65,AA67)</f>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c>
      <c r="O70" s="146">
        <f>SUM(O59,O68)</f>
      </c>
      <c r="P70" s="146">
        <f>SUM(P59,P68)</f>
      </c>
      <c r="Q70" s="146">
        <f>SUM(Q59,Q68)</f>
      </c>
      <c r="R70" s="146">
        <f>SUM(R59,R68)</f>
      </c>
      <c r="S70" s="149"/>
      <c r="T70" s="146">
        <f t="shared" ref="T70:AA70" si="37">SUM(T59,T68)</f>
        <v>34508</v>
      </c>
      <c r="U70" s="146">
        <f>SUM(U59,U68)</f>
        <v>39471</v>
      </c>
      <c r="V70" s="147">
        <f>SUM(V59,V68)</f>
        <v>46735</v>
      </c>
      <c r="W70" s="146">
        <f>SUM(W59,W68)</f>
      </c>
      <c r="X70" s="146">
        <f>SUM(X59,X68)</f>
      </c>
      <c r="Y70" s="146">
        <f>SUM(Y59,Y68)</f>
      </c>
      <c r="Z70" s="146">
        <f>SUM(Z59,Z68)</f>
      </c>
      <c r="AA70" s="146">
        <f>SUM(AA59,AA68)</f>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c>
      <c r="O77" s="153">
        <f>O28</f>
      </c>
      <c r="P77" s="153">
        <f>P28</f>
      </c>
      <c r="Q77" s="153">
        <f>Q28</f>
      </c>
      <c r="R77" s="153">
        <f>R28</f>
      </c>
      <c r="S77" s="16"/>
      <c r="T77" s="153">
        <f t="shared" ref="T77:AA77" si="43">T28</f>
        <v>0.10295460601046151</v>
      </c>
      <c r="U77" s="153">
        <f>U28</f>
        <v>0.10761906081942674</v>
      </c>
      <c r="V77" s="154">
        <f>V28</f>
        <v>0.14634273468977757</v>
      </c>
      <c r="W77" s="153">
        <f>W28</f>
      </c>
      <c r="X77" s="153">
        <f>X28</f>
      </c>
      <c r="Y77" s="153">
        <f>Y28</f>
      </c>
      <c r="Z77" s="153">
        <f>Z28</f>
      </c>
      <c r="AA77" s="153">
        <f>AA28</f>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c>
      <c r="O79" s="153">
        <f>O20</f>
      </c>
      <c r="P79" s="153">
        <f>P20</f>
      </c>
      <c r="Q79" s="153">
        <f>Q20</f>
      </c>
      <c r="R79" s="153">
        <f>R20</f>
      </c>
      <c r="S79" s="16"/>
      <c r="T79" s="153">
        <f t="shared" ref="T79:AA79" si="47">T20</f>
        <v>0.03245032183875808</v>
      </c>
      <c r="U79" s="153">
        <f>U20</f>
        <v>0.059336364140378114</v>
      </c>
      <c r="V79" s="154">
        <f>V20</f>
        <v>0.06512494837996807</v>
      </c>
      <c r="W79" s="153">
        <f>W20</f>
      </c>
      <c r="X79" s="153">
        <f>X20</f>
      </c>
      <c r="Y79" s="153">
        <f>Y20</f>
      </c>
      <c r="Z79" s="153">
        <f>Z20</f>
      </c>
      <c r="AA79" s="153">
        <f>AA20</f>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c>
      <c r="O80" s="153">
        <f>O19/O46</f>
      </c>
      <c r="P80" s="153">
        <f>P19/P46</f>
      </c>
      <c r="Q80" s="153">
        <f>Q19/Q46</f>
      </c>
      <c r="R80" s="153">
        <f>R19/R46</f>
      </c>
      <c r="S80" s="16"/>
      <c r="T80" s="153">
        <f t="shared" ref="T80:AA80" si="49">T19/T46</f>
        <v>0.06705691433870407</v>
      </c>
      <c r="U80" s="153">
        <f>U19/U46</f>
        <v>0.10845937523751616</v>
      </c>
      <c r="V80" s="154">
        <f>V19/V46</f>
        <v>0.12485289397667701</v>
      </c>
      <c r="W80" s="153">
        <f>W19/W46</f>
      </c>
      <c r="X80" s="153">
        <f>X19/X46</f>
      </c>
      <c r="Y80" s="153">
        <f>Y19/Y46</f>
      </c>
      <c r="Z80" s="153">
        <f>Z19/Z46</f>
      </c>
      <c r="AA80" s="153">
        <f>AA19/AA46</f>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c>
      <c r="O81" s="153">
        <f>O19*4/O68</f>
      </c>
      <c r="P81" s="153">
        <f>P19*4/P68</f>
      </c>
      <c r="Q81" s="153">
        <f>Q19*4/Q68</f>
      </c>
      <c r="R81" s="153">
        <f>R19*4/R68</f>
      </c>
      <c r="S81" s="16"/>
      <c r="T81" s="153">
        <f t="shared" ref="T81:AA81" si="51">T19/T68</f>
        <v>0.6350164654226125</v>
      </c>
      <c r="U81" s="153">
        <f>U19/U68</f>
        <v>2.170892494929006</v>
      </c>
      <c r="V81" s="154">
        <f>V19/V68</f>
        <v>4.060542797494781</v>
      </c>
      <c r="W81" s="153">
        <f>W19/W68</f>
      </c>
      <c r="X81" s="153">
        <f>X19/X68</f>
      </c>
      <c r="Y81" s="153">
        <f>Y19/Y68</f>
      </c>
      <c r="Z81" s="153">
        <f>Z19/Z68</f>
      </c>
      <c r="AA81" s="153">
        <f>AA19/AA68</f>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c>
      <c r="O82" s="153">
        <f>O19*4/(O53+O54+O68)</f>
      </c>
      <c r="P82" s="153">
        <f>P19*4/(P53+P54+P68)</f>
      </c>
      <c r="Q82" s="153">
        <f>Q19*4/(Q53+Q54+Q68)</f>
      </c>
      <c r="R82" s="153">
        <f>R19*4/(R53+R54+R68)</f>
      </c>
      <c r="S82" s="153" t="e">
        <f>S19*4/(S53+S54+S68)</f>
        <v>#DIV/0!</v>
      </c>
      <c r="T82" s="153">
        <f t="shared" ref="T82:AA82" si="53">T19/(T53+T54+T68)</f>
        <v>0.12086706711935231</v>
      </c>
      <c r="U82" s="153">
        <f>U19/(U53+U54+U68)</f>
        <v>0.22138904690489736</v>
      </c>
      <c r="V82" s="154">
        <f>V19/(V53+V54+V68)</f>
        <v>0.21104600694444445</v>
      </c>
      <c r="W82" s="153">
        <f>W19/(W53+W54+W68)</f>
      </c>
      <c r="X82" s="153">
        <f>X19/(X53+X54+X68)</f>
      </c>
      <c r="Y82" s="153">
        <f>Y19/(Y53+Y54+Y68)</f>
      </c>
      <c r="Z82" s="153">
        <f>Z19/(Z53+Z54+Z68)</f>
      </c>
      <c r="AA82" s="153">
        <f>AA19/(AA53+AA54+AA68)</f>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c>
      <c r="O85" s="116">
        <f>-Model!Z39</f>
      </c>
      <c r="P85" s="116">
        <f>-Model!AA39</f>
      </c>
      <c r="Q85" s="116">
        <f>-Model!AB39</f>
      </c>
      <c r="R85" s="116">
        <f>-Model!AC39</f>
      </c>
      <c r="S85" s="16"/>
      <c r="T85" s="116">
        <f>-Model!J39</f>
        <v>624</v>
      </c>
      <c r="U85" s="116">
        <f>-Model!O39</f>
        <v>691</v>
      </c>
      <c r="V85" s="117">
        <f>-Model!T39</f>
        <v>849</v>
      </c>
      <c r="W85" s="116">
        <f>-Model!Y39</f>
      </c>
      <c r="X85" s="116">
        <f>-Model!AD39</f>
      </c>
      <c r="Y85" s="116">
        <f>-Model!AE39</f>
      </c>
      <c r="Z85" s="116">
        <f>-Model!AF39</f>
      </c>
      <c r="AA85" s="116">
        <f>-Model!AG39</f>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c>
      <c r="O97" s="160">
        <f>O8/O46</f>
      </c>
      <c r="P97" s="160">
        <f>P8/P46</f>
      </c>
      <c r="Q97" s="160">
        <f>Q8/Q46</f>
      </c>
      <c r="R97" s="160">
        <f>R8/R46</f>
      </c>
      <c r="S97" s="16"/>
      <c r="T97" s="160">
        <f t="shared" ref="T97:AA97" si="67">T8/T46</f>
        <v>2.066448359800626</v>
      </c>
      <c r="U97" s="160">
        <f>U8/U46</f>
        <v>1.8278736287400876</v>
      </c>
      <c r="V97" s="161">
        <f>V8/V46</f>
        <v>1.9171284904247352</v>
      </c>
      <c r="W97" s="160">
        <f>W8/W46</f>
      </c>
      <c r="X97" s="160">
        <f>X8/X46</f>
      </c>
      <c r="Y97" s="160">
        <f>Y8/Y46</f>
      </c>
      <c r="Z97" s="160">
        <f>Z8/Z46</f>
      </c>
      <c r="AA97" s="160">
        <f>AA8/AA46</f>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0</v>
      </c>
      <c r="N98" s="164">
        <f>Model!X182</f>
        <v>0</v>
      </c>
      <c r="O98" s="162">
        <f>Model!Z182</f>
        <v>0</v>
      </c>
      <c r="P98" s="162">
        <f>Model!AA182</f>
        <v>0</v>
      </c>
      <c r="Q98" s="162">
        <f>Model!AB182</f>
        <v>0</v>
      </c>
      <c r="R98" s="162">
        <f>Model!AC182</f>
        <v>0</v>
      </c>
      <c r="S98" s="162"/>
      <c r="T98" s="162">
        <f>Model!J182</f>
        <v>0</v>
      </c>
      <c r="U98" s="162">
        <f>Model!O182</f>
        <v>0</v>
      </c>
      <c r="V98" s="163">
        <f>Model!T182</f>
        <v>0</v>
      </c>
      <c r="W98" s="162">
        <f>Model!Y182</f>
        <v>0</v>
      </c>
      <c r="X98" s="162">
        <f>Model!AD182</f>
        <v>0</v>
      </c>
      <c r="Y98" s="162">
        <f>Model!AE182</f>
        <v>0</v>
      </c>
      <c r="Z98" s="162">
        <f>Model!AF182</f>
        <v>0</v>
      </c>
      <c r="AA98" s="162">
        <f>Model!AG182</f>
        <v>0</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c>
      <c r="T25" s="212">
        <f>(Comparables!$G$10*S30)/Summary!W19</f>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c>
      <c r="T26" s="212">
        <f>(Comparables!$G$10*S30)/Summary!AA19</f>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c>
      <c r="H28" s="116">
        <f>Summary!X27</f>
      </c>
      <c r="I28" s="116">
        <f>Summary!Y27</f>
      </c>
      <c r="J28" s="116">
        <f>Summary!Z27</f>
      </c>
      <c r="K28" s="117">
        <f>Summary!AA27</f>
      </c>
      <c r="L28" s="116"/>
      <c r="M28" s="119">
        <f>Summary!AC27</f>
        <v>0.3364024211504246</v>
      </c>
      <c r="N28" s="207"/>
      <c r="O28" s="119" t="str">
        <f>Summary!AE27</f>
        <v>N/A</v>
      </c>
      <c r="P28" s="4"/>
      <c r="Q28" s="4"/>
      <c r="R28" s="84" t="s">
        <v>149</v>
      </c>
      <c r="S28" s="212">
        <f>Valuation!K79</f>
      </c>
      <c r="T28" s="212">
        <f>Valuation!R72/Summary!AA19</f>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c>
      <c r="H29" s="121">
        <f>Summary!X28</f>
      </c>
      <c r="I29" s="121">
        <f>Summary!Y28</f>
      </c>
      <c r="J29" s="121">
        <f>Summary!Z28</f>
      </c>
      <c r="K29" s="122">
        <f>Summary!AA28</f>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c>
      <c r="H30" s="121">
        <f>Summary!X29</f>
      </c>
      <c r="I30" s="121">
        <f>Summary!Y29</f>
      </c>
      <c r="J30" s="121">
        <f>Summary!Z29</f>
      </c>
      <c r="K30" s="122">
        <f>Summary!AA29</f>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c>
      <c r="H32" s="116">
        <f>Summary!X19</f>
      </c>
      <c r="I32" s="116">
        <f>Summary!Y19</f>
      </c>
      <c r="J32" s="116">
        <f>Summary!Z19</f>
      </c>
      <c r="K32" s="117">
        <f>Summary!AA19</f>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c>
      <c r="H33" s="121">
        <f>Summary!X20</f>
      </c>
      <c r="I33" s="121">
        <f>Summary!Y20</f>
      </c>
      <c r="J33" s="121">
        <f>Summary!Z20</f>
      </c>
      <c r="K33" s="122">
        <f>Summary!AA20</f>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c>
      <c r="H34" s="121">
        <f>Summary!X21</f>
      </c>
      <c r="I34" s="121">
        <f>Summary!Y21</f>
      </c>
      <c r="J34" s="121">
        <f>Summary!Z21</f>
      </c>
      <c r="K34" s="122">
        <f>Summary!AA21</f>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c>
      <c r="H36" s="116">
        <f>Summary!X23</f>
      </c>
      <c r="I36" s="116">
        <f>Summary!Y23</f>
      </c>
      <c r="J36" s="116">
        <f>Summary!Z23</f>
      </c>
      <c r="K36" s="117">
        <f>Summary!AA23</f>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c>
      <c r="H39" s="116">
        <f>Model!AD112</f>
      </c>
      <c r="I39" s="116">
        <f>Model!AE112</f>
      </c>
      <c r="J39" s="116">
        <f>Model!AF112</f>
      </c>
      <c r="K39" s="117">
        <f>Model!AG112</f>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c>
      <c r="H40" s="121">
        <f>H39/G39-1</f>
      </c>
      <c r="I40" s="121">
        <f>I39/H39-1</f>
      </c>
      <c r="J40" s="121">
        <f>J39/I39-1</f>
      </c>
      <c r="K40" s="122">
        <f>K39/J39-1</f>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c>
      <c r="H55" s="153">
        <f>Summary!X80</f>
      </c>
      <c r="I55" s="153">
        <f>Summary!Y80</f>
      </c>
      <c r="J55" s="153">
        <f>Summary!Z80</f>
      </c>
      <c r="K55" s="154">
        <f>Summary!AA80</f>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c>
      <c r="H56" s="153">
        <f>Summary!X81</f>
      </c>
      <c r="I56" s="153">
        <f>Summary!Y81</f>
      </c>
      <c r="J56" s="153">
        <f>Summary!Z81</f>
      </c>
      <c r="K56" s="154">
        <f>Summary!AA81</f>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c>
      <c r="H57" s="153">
        <f>Summary!X82</f>
      </c>
      <c r="I57" s="153">
        <f>Summary!Y82</f>
      </c>
      <c r="J57" s="153">
        <f>Summary!Z82</f>
      </c>
      <c r="K57" s="154">
        <f>Summary!AA82</f>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c>
      <c r="H60" s="116">
        <f>Summary!X85</f>
      </c>
      <c r="I60" s="116">
        <f>Summary!Y85</f>
      </c>
      <c r="J60" s="116">
        <f>Summary!Z85</f>
      </c>
      <c r="K60" s="117">
        <f>Summary!AA85</f>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c>
      <c r="H67" s="160">
        <f>Summary!X97</f>
      </c>
      <c r="I67" s="160">
        <f>Summary!Y97</f>
      </c>
      <c r="J67" s="160">
        <f>Summary!Z97</f>
      </c>
      <c r="K67" s="161">
        <f>Summary!AA97</f>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0</v>
      </c>
      <c r="E68" s="162">
        <f>Summary!U98</f>
        <v>0</v>
      </c>
      <c r="F68" s="163">
        <f>Summary!V98</f>
        <v>0</v>
      </c>
      <c r="G68" s="162">
        <f>Summary!W98</f>
        <v>0</v>
      </c>
      <c r="H68" s="162">
        <f>Summary!X98</f>
        <v>0</v>
      </c>
      <c r="I68" s="162">
        <f>Summary!Y98</f>
        <v>0</v>
      </c>
      <c r="J68" s="162">
        <f>Summary!Z98</f>
        <v>0</v>
      </c>
      <c r="K68" s="163">
        <f>Summary!AA98</f>
        <v>0</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0</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0</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0</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0</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0</v>
      </c>
      <c r="G35" s="284">
        <f>'Segment Analysis'!G9</f>
        <v>0</v>
      </c>
      <c r="H35" s="284">
        <f>'Segment Analysis'!H9</f>
        <v>0</v>
      </c>
      <c r="I35" s="284">
        <f>'Segment Analysis'!I9</f>
        <v>0</v>
      </c>
      <c r="J35" s="285">
        <f>'Segment Analysis'!J9</f>
        <v>0</v>
      </c>
      <c r="K35" s="284">
        <f>'Segment Analysis'!K9</f>
        <v>0</v>
      </c>
      <c r="L35" s="284">
        <f>'Segment Analysis'!L9</f>
        <v>0</v>
      </c>
      <c r="M35" s="284">
        <f>'Segment Analysis'!M9</f>
        <v>0</v>
      </c>
      <c r="N35" s="284">
        <f>'Segment Analysis'!N9</f>
        <v>0</v>
      </c>
      <c r="O35" s="285">
        <f>'Segment Analysis'!O9</f>
        <v>0</v>
      </c>
      <c r="P35" s="284">
        <f>'Segment Analysis'!P9</f>
        <v>0</v>
      </c>
      <c r="Q35" s="284">
        <f>'Segment Analysis'!Q9</f>
        <v>0</v>
      </c>
      <c r="R35" s="284">
        <f>'Segment Analysis'!R9</f>
        <v>0</v>
      </c>
      <c r="S35" s="284">
        <f>'Segment Analysis'!S9</f>
        <v>0</v>
      </c>
      <c r="T35" s="285">
        <f>'Segment Analysis'!T9</f>
        <v>0</v>
      </c>
      <c r="U35" s="284">
        <f>'Segment Analysis'!U9</f>
        <v>0</v>
      </c>
      <c r="V35" s="284">
        <f>'Segment Analysis'!V9</f>
        <v>0</v>
      </c>
      <c r="W35" s="284">
        <f>'Segment Analysis'!W9</f>
        <v>0</v>
      </c>
      <c r="X35" s="286">
        <f>IF(Segment2_Rev_Methodology="Segment",X59,IF(Segment2_Rev_Methodology="Activity-Based",X103,IF(Segment2_Rev_Methodology="Backlog",X177,"--")))</f>
        <v>0</v>
      </c>
      <c r="Y35" s="287">
        <f>SUM(U35:X35)</f>
        <v>0</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0</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0</v>
      </c>
      <c r="G37" s="294">
        <f>'Segment Analysis'!G17</f>
        <v>0</v>
      </c>
      <c r="H37" s="294">
        <f>'Segment Analysis'!H17</f>
        <v>0</v>
      </c>
      <c r="I37" s="294">
        <f>'Segment Analysis'!I17</f>
        <v>0</v>
      </c>
      <c r="J37" s="295">
        <f>'Segment Analysis'!J17</f>
        <v>0</v>
      </c>
      <c r="K37" s="294">
        <f>'Segment Analysis'!K17</f>
        <v>0</v>
      </c>
      <c r="L37" s="294">
        <f>'Segment Analysis'!L17</f>
        <v>0</v>
      </c>
      <c r="M37" s="294">
        <f>'Segment Analysis'!M17</f>
        <v>0</v>
      </c>
      <c r="N37" s="294">
        <f>'Segment Analysis'!N17</f>
        <v>0</v>
      </c>
      <c r="O37" s="295">
        <f>'Segment Analysis'!O17</f>
        <v>0</v>
      </c>
      <c r="P37" s="294">
        <f>'Segment Analysis'!P17</f>
        <v>0</v>
      </c>
      <c r="Q37" s="294">
        <f>'Segment Analysis'!Q17</f>
        <v>0</v>
      </c>
      <c r="R37" s="294">
        <f>'Segment Analysis'!R17</f>
        <v>0</v>
      </c>
      <c r="S37" s="294">
        <f>'Segment Analysis'!S17</f>
        <v>0</v>
      </c>
      <c r="T37" s="295">
        <f>'Segment Analysis'!T17</f>
        <v>0</v>
      </c>
      <c r="U37" s="294">
        <f>'Segment Analysis'!U17</f>
        <v>0</v>
      </c>
      <c r="V37" s="294">
        <f>'Segment Analysis'!V17</f>
        <v>0</v>
      </c>
      <c r="W37" s="294">
        <f>'Segment Analysis'!W17</f>
        <v>0</v>
      </c>
      <c r="X37" s="296">
        <f t="shared" ref="X37:AG37" si="9">X35/X$30</f>
        <v>0</v>
      </c>
      <c r="Y37" s="297">
        <f>Y35/Y$30</f>
      </c>
      <c r="Z37" s="296">
        <f>Z35/Z$30</f>
      </c>
      <c r="AA37" s="296">
        <f>AA35/AA$30</f>
      </c>
      <c r="AB37" s="296">
        <f>AB35/AB$30</f>
      </c>
      <c r="AC37" s="296">
        <f>AC35/AC$30</f>
      </c>
      <c r="AD37" s="297">
        <f>AD35/AD$30</f>
      </c>
      <c r="AE37" s="297">
        <f>AE35/AE$30</f>
      </c>
      <c r="AF37" s="297">
        <f>AF35/AF$30</f>
      </c>
      <c r="AG37" s="297">
        <f>AG35/AG$30</f>
      </c>
      <c r="AH37" s="291"/>
      <c r="AI37" s="298"/>
      <c r="AJ37" s="299"/>
    </row>
    <row r="38" ht="12.75" customHeight="1" spans="1:36" x14ac:dyDescent="0.25" outlineLevel="1" collapsed="1">
      <c r="A38" s="16"/>
      <c r="B38" s="16"/>
      <c r="C38" s="16" t="str">
        <f>'Segment Analysis'!C10</f>
        <v>Segment 3 Revenue</v>
      </c>
      <c r="D38" s="16"/>
      <c r="E38" s="16"/>
      <c r="F38" s="284">
        <f>'Segment Analysis'!F10</f>
        <v>0</v>
      </c>
      <c r="G38" s="284">
        <f>'Segment Analysis'!G10</f>
        <v>0</v>
      </c>
      <c r="H38" s="284">
        <f>'Segment Analysis'!H10</f>
        <v>0</v>
      </c>
      <c r="I38" s="284">
        <f>'Segment Analysis'!I10</f>
        <v>0</v>
      </c>
      <c r="J38" s="285">
        <f>'Segment Analysis'!J10</f>
        <v>0</v>
      </c>
      <c r="K38" s="284">
        <f>'Segment Analysis'!K10</f>
        <v>0</v>
      </c>
      <c r="L38" s="284">
        <f>'Segment Analysis'!L10</f>
        <v>0</v>
      </c>
      <c r="M38" s="284">
        <f>'Segment Analysis'!M10</f>
        <v>0</v>
      </c>
      <c r="N38" s="284">
        <f>'Segment Analysis'!N10</f>
        <v>0</v>
      </c>
      <c r="O38" s="285">
        <f>'Segment Analysis'!O10</f>
        <v>0</v>
      </c>
      <c r="P38" s="284">
        <f>'Segment Analysis'!P10</f>
        <v>0</v>
      </c>
      <c r="Q38" s="284">
        <f>'Segment Analysis'!Q10</f>
        <v>0</v>
      </c>
      <c r="R38" s="284">
        <f>'Segment Analysis'!R10</f>
        <v>0</v>
      </c>
      <c r="S38" s="284">
        <f>'Segment Analysis'!S10</f>
        <v>0</v>
      </c>
      <c r="T38" s="285">
        <f>'Segment Analysis'!T10</f>
        <v>0</v>
      </c>
      <c r="U38" s="284">
        <f>'Segment Analysis'!U10</f>
        <v>0</v>
      </c>
      <c r="V38" s="284">
        <f>'Segment Analysis'!V10</f>
        <v>0</v>
      </c>
      <c r="W38" s="284">
        <f>'Segment Analysis'!W10</f>
        <v>0</v>
      </c>
      <c r="X38" s="286">
        <f>IF(Segment3_Rev_Methodology="Segment",X65,IF(Segment3_Rev_Methodology="Activity-Based",X115,IF(Segment3_Rev_Methodology="Backlog",X189,"--")))</f>
        <v>0</v>
      </c>
      <c r="Y38" s="287">
        <f>SUM(U38:X38)</f>
        <v>0</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0</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0</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0</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0</v>
      </c>
      <c r="G40" s="294">
        <f>'Segment Analysis'!G18</f>
        <v>0</v>
      </c>
      <c r="H40" s="294">
        <f>'Segment Analysis'!H18</f>
        <v>0</v>
      </c>
      <c r="I40" s="294">
        <f>'Segment Analysis'!I18</f>
        <v>0</v>
      </c>
      <c r="J40" s="295">
        <f>'Segment Analysis'!J18</f>
        <v>0</v>
      </c>
      <c r="K40" s="294">
        <f>'Segment Analysis'!K18</f>
        <v>0</v>
      </c>
      <c r="L40" s="294">
        <f>'Segment Analysis'!L18</f>
        <v>0</v>
      </c>
      <c r="M40" s="294">
        <f>'Segment Analysis'!M18</f>
        <v>0</v>
      </c>
      <c r="N40" s="294">
        <f>'Segment Analysis'!N18</f>
        <v>0</v>
      </c>
      <c r="O40" s="295">
        <f>'Segment Analysis'!O18</f>
        <v>0</v>
      </c>
      <c r="P40" s="294">
        <f>'Segment Analysis'!P18</f>
        <v>0</v>
      </c>
      <c r="Q40" s="294">
        <f>'Segment Analysis'!Q18</f>
        <v>0</v>
      </c>
      <c r="R40" s="294">
        <f>'Segment Analysis'!R18</f>
        <v>0</v>
      </c>
      <c r="S40" s="294">
        <f>'Segment Analysis'!S18</f>
        <v>0</v>
      </c>
      <c r="T40" s="295">
        <f>'Segment Analysis'!T18</f>
        <v>0</v>
      </c>
      <c r="U40" s="294">
        <f>'Segment Analysis'!U18</f>
        <v>0</v>
      </c>
      <c r="V40" s="294">
        <f>'Segment Analysis'!V18</f>
        <v>0</v>
      </c>
      <c r="W40" s="294">
        <f>'Segment Analysis'!W18</f>
        <v>0</v>
      </c>
      <c r="X40" s="296">
        <f t="shared" ref="X40:AG40" si="12">X38/X$30</f>
        <v>0</v>
      </c>
      <c r="Y40" s="297">
        <f>Y38/Y$30</f>
      </c>
      <c r="Z40" s="296">
        <f>Z38/Z$30</f>
      </c>
      <c r="AA40" s="296">
        <f>AA38/AA$30</f>
      </c>
      <c r="AB40" s="296">
        <f>AB38/AB$30</f>
      </c>
      <c r="AC40" s="296">
        <f>AC38/AC$30</f>
      </c>
      <c r="AD40" s="297">
        <f>AD38/AD$30</f>
      </c>
      <c r="AE40" s="297">
        <f>AE38/AE$30</f>
      </c>
      <c r="AF40" s="297">
        <f>AF38/AF$30</f>
      </c>
      <c r="AG40" s="297">
        <f>AG38/AG$30</f>
      </c>
      <c r="AH40" s="291"/>
      <c r="AI40" s="298"/>
      <c r="AJ40" s="299"/>
    </row>
    <row r="41" ht="12.75" customHeight="1" spans="1:36" x14ac:dyDescent="0.25" outlineLevel="1" collapsed="1">
      <c r="A41" s="16"/>
      <c r="B41" s="16"/>
      <c r="C41" s="16" t="str">
        <f>'Segment Analysis'!C11</f>
        <v>Segment 4 Revenue</v>
      </c>
      <c r="D41" s="16"/>
      <c r="E41" s="16"/>
      <c r="F41" s="284">
        <f>'Segment Analysis'!F11</f>
        <v>0</v>
      </c>
      <c r="G41" s="284">
        <f>'Segment Analysis'!G11</f>
        <v>0</v>
      </c>
      <c r="H41" s="284">
        <f>'Segment Analysis'!H11</f>
        <v>0</v>
      </c>
      <c r="I41" s="284">
        <f>'Segment Analysis'!I11</f>
        <v>0</v>
      </c>
      <c r="J41" s="285">
        <f>'Segment Analysis'!J11</f>
        <v>0</v>
      </c>
      <c r="K41" s="284">
        <f>'Segment Analysis'!K11</f>
        <v>0</v>
      </c>
      <c r="L41" s="284">
        <f>'Segment Analysis'!L11</f>
        <v>0</v>
      </c>
      <c r="M41" s="284">
        <f>'Segment Analysis'!M11</f>
        <v>0</v>
      </c>
      <c r="N41" s="284">
        <f>'Segment Analysis'!N11</f>
        <v>0</v>
      </c>
      <c r="O41" s="285">
        <f>'Segment Analysis'!O11</f>
        <v>0</v>
      </c>
      <c r="P41" s="284">
        <f>'Segment Analysis'!P11</f>
        <v>0</v>
      </c>
      <c r="Q41" s="284">
        <f>'Segment Analysis'!Q11</f>
        <v>0</v>
      </c>
      <c r="R41" s="284">
        <f>'Segment Analysis'!R11</f>
        <v>0</v>
      </c>
      <c r="S41" s="284">
        <f>'Segment Analysis'!S11</f>
        <v>0</v>
      </c>
      <c r="T41" s="285">
        <f>'Segment Analysis'!T11</f>
        <v>0</v>
      </c>
      <c r="U41" s="284">
        <f>'Segment Analysis'!U11</f>
        <v>0</v>
      </c>
      <c r="V41" s="284">
        <f>'Segment Analysis'!V11</f>
        <v>0</v>
      </c>
      <c r="W41" s="284">
        <f>'Segment Analysis'!W11</f>
        <v>0</v>
      </c>
      <c r="X41" s="286">
        <f>IF(Segment4_Rev_Methodology="Segment",X71,IF(Segment4_Rev_Methodology="Activity-Based",X127,IF(Segment4_Rev_Methodology="Backlog",X201,"--")))</f>
        <v>0</v>
      </c>
      <c r="Y41" s="287">
        <f>SUM(U41:X41)</f>
        <v>0</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0</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0</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0</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0</v>
      </c>
      <c r="G43" s="294">
        <f>'Segment Analysis'!G19</f>
        <v>0</v>
      </c>
      <c r="H43" s="294">
        <f>'Segment Analysis'!H19</f>
        <v>0</v>
      </c>
      <c r="I43" s="294">
        <f>'Segment Analysis'!I19</f>
        <v>0</v>
      </c>
      <c r="J43" s="295">
        <f>'Segment Analysis'!J19</f>
        <v>0</v>
      </c>
      <c r="K43" s="294">
        <f>'Segment Analysis'!K19</f>
        <v>0</v>
      </c>
      <c r="L43" s="294">
        <f>'Segment Analysis'!L19</f>
        <v>0</v>
      </c>
      <c r="M43" s="294">
        <f>'Segment Analysis'!M19</f>
        <v>0</v>
      </c>
      <c r="N43" s="294">
        <f>'Segment Analysis'!N19</f>
        <v>0</v>
      </c>
      <c r="O43" s="295">
        <f>'Segment Analysis'!O19</f>
        <v>0</v>
      </c>
      <c r="P43" s="294">
        <f>'Segment Analysis'!P19</f>
        <v>0</v>
      </c>
      <c r="Q43" s="294">
        <f>'Segment Analysis'!Q19</f>
        <v>0</v>
      </c>
      <c r="R43" s="294">
        <f>'Segment Analysis'!R19</f>
        <v>0</v>
      </c>
      <c r="S43" s="294">
        <f>'Segment Analysis'!S19</f>
        <v>0</v>
      </c>
      <c r="T43" s="295">
        <f>'Segment Analysis'!T19</f>
        <v>0</v>
      </c>
      <c r="U43" s="294">
        <f>'Segment Analysis'!U19</f>
        <v>0</v>
      </c>
      <c r="V43" s="294">
        <f>'Segment Analysis'!V19</f>
        <v>0</v>
      </c>
      <c r="W43" s="294">
        <f>'Segment Analysis'!W19</f>
        <v>0</v>
      </c>
      <c r="X43" s="296">
        <f t="shared" ref="X43:AG43" si="15">X41/X$30</f>
        <v>0</v>
      </c>
      <c r="Y43" s="297">
        <f>Y41/Y$30</f>
      </c>
      <c r="Z43" s="296">
        <f>Z41/Z$30</f>
      </c>
      <c r="AA43" s="296">
        <f>AA41/AA$30</f>
      </c>
      <c r="AB43" s="296">
        <f>AB41/AB$30</f>
      </c>
      <c r="AC43" s="296">
        <f>AC41/AC$30</f>
      </c>
      <c r="AD43" s="297">
        <f>AD41/AD$30</f>
      </c>
      <c r="AE43" s="297">
        <f>AE41/AE$30</f>
      </c>
      <c r="AF43" s="297">
        <f>AF41/AF$30</f>
      </c>
      <c r="AG43" s="297">
        <f>AG41/AG$30</f>
      </c>
      <c r="AH43" s="291"/>
      <c r="AI43" s="298"/>
      <c r="AJ43" s="299"/>
    </row>
    <row r="44" ht="12.75" customHeight="1" spans="1:36" x14ac:dyDescent="0.25" outlineLevel="1" collapsed="1">
      <c r="A44" s="16"/>
      <c r="B44" s="16"/>
      <c r="C44" s="16" t="str">
        <f>'Segment Analysis'!C12</f>
        <v>Segment 5 Revenue</v>
      </c>
      <c r="D44" s="16"/>
      <c r="E44" s="16"/>
      <c r="F44" s="284">
        <f>'Segment Analysis'!F12</f>
        <v>0</v>
      </c>
      <c r="G44" s="284">
        <f>'Segment Analysis'!G12</f>
        <v>0</v>
      </c>
      <c r="H44" s="284">
        <f>'Segment Analysis'!H12</f>
        <v>0</v>
      </c>
      <c r="I44" s="284">
        <f>'Segment Analysis'!I12</f>
        <v>0</v>
      </c>
      <c r="J44" s="285">
        <f>'Segment Analysis'!J12</f>
        <v>0</v>
      </c>
      <c r="K44" s="284">
        <f>'Segment Analysis'!K12</f>
        <v>0</v>
      </c>
      <c r="L44" s="284">
        <f>'Segment Analysis'!L12</f>
        <v>0</v>
      </c>
      <c r="M44" s="284">
        <f>'Segment Analysis'!M12</f>
        <v>0</v>
      </c>
      <c r="N44" s="284">
        <f>'Segment Analysis'!N12</f>
        <v>0</v>
      </c>
      <c r="O44" s="285">
        <f>'Segment Analysis'!O12</f>
        <v>0</v>
      </c>
      <c r="P44" s="284">
        <f>'Segment Analysis'!P12</f>
        <v>0</v>
      </c>
      <c r="Q44" s="284">
        <f>'Segment Analysis'!Q12</f>
        <v>0</v>
      </c>
      <c r="R44" s="284">
        <f>'Segment Analysis'!R12</f>
        <v>0</v>
      </c>
      <c r="S44" s="284">
        <f>'Segment Analysis'!S12</f>
        <v>0</v>
      </c>
      <c r="T44" s="285">
        <f>'Segment Analysis'!T12</f>
        <v>0</v>
      </c>
      <c r="U44" s="284">
        <f>'Segment Analysis'!U12</f>
        <v>0</v>
      </c>
      <c r="V44" s="284">
        <f>'Segment Analysis'!V12</f>
        <v>0</v>
      </c>
      <c r="W44" s="284">
        <f>'Segment Analysis'!W12</f>
        <v>0</v>
      </c>
      <c r="X44" s="286">
        <f>IF(Segment5_Rev_Methodology="Segment",X77,IF(Segment5_Rev_Methodology="Activity-Based",X139,IF(Segment5_Rev_Methodology="Backlog",X213,"--")))</f>
        <v>0</v>
      </c>
      <c r="Y44" s="287">
        <f>SUM(U44:X44)</f>
        <v>0</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0</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0</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0</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0</v>
      </c>
      <c r="G46" s="294">
        <f>'Segment Analysis'!G20</f>
        <v>0</v>
      </c>
      <c r="H46" s="294">
        <f>'Segment Analysis'!H20</f>
        <v>0</v>
      </c>
      <c r="I46" s="294">
        <f>'Segment Analysis'!I20</f>
        <v>0</v>
      </c>
      <c r="J46" s="295">
        <f>'Segment Analysis'!J20</f>
        <v>0</v>
      </c>
      <c r="K46" s="294">
        <f>'Segment Analysis'!K20</f>
        <v>0</v>
      </c>
      <c r="L46" s="294">
        <f>'Segment Analysis'!L20</f>
        <v>0</v>
      </c>
      <c r="M46" s="294">
        <f>'Segment Analysis'!M20</f>
        <v>0</v>
      </c>
      <c r="N46" s="294">
        <f>'Segment Analysis'!N20</f>
        <v>0</v>
      </c>
      <c r="O46" s="295">
        <f>'Segment Analysis'!O20</f>
        <v>0</v>
      </c>
      <c r="P46" s="294">
        <f>'Segment Analysis'!P20</f>
        <v>0</v>
      </c>
      <c r="Q46" s="294">
        <f>'Segment Analysis'!Q20</f>
        <v>0</v>
      </c>
      <c r="R46" s="294">
        <f>'Segment Analysis'!R20</f>
        <v>0</v>
      </c>
      <c r="S46" s="294">
        <f>'Segment Analysis'!S20</f>
        <v>0</v>
      </c>
      <c r="T46" s="295">
        <f>'Segment Analysis'!T20</f>
        <v>0</v>
      </c>
      <c r="U46" s="294">
        <f>'Segment Analysis'!U20</f>
        <v>0</v>
      </c>
      <c r="V46" s="294">
        <f>'Segment Analysis'!V20</f>
        <v>0</v>
      </c>
      <c r="W46" s="294">
        <f>'Segment Analysis'!W20</f>
        <v>0</v>
      </c>
      <c r="X46" s="296">
        <f t="shared" ref="X46:AG46" si="18">X44/X$30</f>
        <v>0</v>
      </c>
      <c r="Y46" s="297">
        <f>Y44/Y$30</f>
      </c>
      <c r="Z46" s="296">
        <f>Z44/Z$30</f>
      </c>
      <c r="AA46" s="296">
        <f>AA44/AA$30</f>
      </c>
      <c r="AB46" s="296">
        <f>AB44/AB$30</f>
      </c>
      <c r="AC46" s="296">
        <f>AC44/AC$30</f>
      </c>
      <c r="AD46" s="297">
        <f>AD44/AD$30</f>
      </c>
      <c r="AE46" s="297">
        <f>AE44/AE$30</f>
      </c>
      <c r="AF46" s="297">
        <f>AF44/AF$30</f>
      </c>
      <c r="AG46" s="297">
        <f>AG44/AG$30</f>
      </c>
      <c r="AH46" s="291"/>
      <c r="AI46" s="298"/>
      <c r="AJ46" s="299"/>
    </row>
    <row r="47" ht="12.75" customHeight="1" spans="1:36" x14ac:dyDescent="0.25" outlineLevel="1" collapsed="1">
      <c r="A47" s="16"/>
      <c r="B47" s="16"/>
      <c r="C47" s="16" t="str">
        <f>'Segment Analysis'!C13</f>
        <v>Segment 6 Revenue</v>
      </c>
      <c r="D47" s="16"/>
      <c r="E47" s="16"/>
      <c r="F47" s="284">
        <f>'Segment Analysis'!F13</f>
        <v>0</v>
      </c>
      <c r="G47" s="284">
        <f>'Segment Analysis'!G13</f>
        <v>0</v>
      </c>
      <c r="H47" s="284">
        <f>'Segment Analysis'!H13</f>
        <v>0</v>
      </c>
      <c r="I47" s="284">
        <f>'Segment Analysis'!I13</f>
        <v>0</v>
      </c>
      <c r="J47" s="285">
        <f>'Segment Analysis'!J13</f>
        <v>0</v>
      </c>
      <c r="K47" s="284">
        <f>'Segment Analysis'!K13</f>
        <v>0</v>
      </c>
      <c r="L47" s="284">
        <f>'Segment Analysis'!L13</f>
        <v>0</v>
      </c>
      <c r="M47" s="284">
        <f>'Segment Analysis'!M13</f>
        <v>0</v>
      </c>
      <c r="N47" s="284">
        <f>'Segment Analysis'!N13</f>
        <v>0</v>
      </c>
      <c r="O47" s="285">
        <f>'Segment Analysis'!O13</f>
        <v>0</v>
      </c>
      <c r="P47" s="284">
        <f>'Segment Analysis'!P13</f>
        <v>0</v>
      </c>
      <c r="Q47" s="284">
        <f>'Segment Analysis'!Q13</f>
        <v>0</v>
      </c>
      <c r="R47" s="284">
        <f>'Segment Analysis'!R13</f>
        <v>0</v>
      </c>
      <c r="S47" s="284">
        <f>'Segment Analysis'!S13</f>
        <v>0</v>
      </c>
      <c r="T47" s="285">
        <f>'Segment Analysis'!T13</f>
        <v>0</v>
      </c>
      <c r="U47" s="284">
        <f>'Segment Analysis'!U13</f>
        <v>0</v>
      </c>
      <c r="V47" s="284">
        <f>'Segment Analysis'!V13</f>
        <v>0</v>
      </c>
      <c r="W47" s="284">
        <f>'Segment Analysis'!W13</f>
        <v>0</v>
      </c>
      <c r="X47" s="286">
        <f>IF(Segment6_Rev_Methodology="Segment",X83,IF(Segment6_Rev_Methodology="Activity-Based",X151,IF(Segment6_Rev_Methodology="Backlog",X225,"--")))</f>
        <v>0</v>
      </c>
      <c r="Y47" s="287">
        <f>SUM(U47:X47)</f>
        <v>0</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0</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0</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0</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0</v>
      </c>
      <c r="G49" s="309">
        <f>'Segment Analysis'!G21</f>
        <v>0</v>
      </c>
      <c r="H49" s="309">
        <f>'Segment Analysis'!H21</f>
        <v>0</v>
      </c>
      <c r="I49" s="309">
        <f>'Segment Analysis'!I21</f>
        <v>0</v>
      </c>
      <c r="J49" s="310">
        <f>'Segment Analysis'!J21</f>
        <v>0</v>
      </c>
      <c r="K49" s="309">
        <f>'Segment Analysis'!K21</f>
        <v>0</v>
      </c>
      <c r="L49" s="309">
        <f>'Segment Analysis'!L21</f>
        <v>0</v>
      </c>
      <c r="M49" s="309">
        <f>'Segment Analysis'!M21</f>
        <v>0</v>
      </c>
      <c r="N49" s="309">
        <f>'Segment Analysis'!N21</f>
        <v>0</v>
      </c>
      <c r="O49" s="310">
        <f>'Segment Analysis'!O21</f>
        <v>0</v>
      </c>
      <c r="P49" s="309">
        <f>'Segment Analysis'!P21</f>
        <v>0</v>
      </c>
      <c r="Q49" s="309">
        <f>'Segment Analysis'!Q21</f>
        <v>0</v>
      </c>
      <c r="R49" s="309">
        <f>'Segment Analysis'!R21</f>
        <v>0</v>
      </c>
      <c r="S49" s="309">
        <f>'Segment Analysis'!S21</f>
        <v>0</v>
      </c>
      <c r="T49" s="310">
        <f>'Segment Analysis'!T21</f>
        <v>0</v>
      </c>
      <c r="U49" s="309">
        <f>'Segment Analysis'!U21</f>
        <v>0</v>
      </c>
      <c r="V49" s="309">
        <f>'Segment Analysis'!V21</f>
        <v>0</v>
      </c>
      <c r="W49" s="309">
        <f>'Segment Analysis'!W21</f>
        <v>0</v>
      </c>
      <c r="X49" s="305">
        <f t="shared" ref="X49:AG49" si="21">X47/X$30</f>
        <v>0</v>
      </c>
      <c r="Y49" s="306">
        <f>Y47/Y$30</f>
      </c>
      <c r="Z49" s="305">
        <f>Z47/Z$30</f>
      </c>
      <c r="AA49" s="305">
        <f>AA47/AA$30</f>
      </c>
      <c r="AB49" s="305">
        <f>AB47/AB$30</f>
      </c>
      <c r="AC49" s="305">
        <f>AC47/AC$30</f>
      </c>
      <c r="AD49" s="306">
        <f>AD47/AD$30</f>
      </c>
      <c r="AE49" s="306">
        <f>AE47/AE$30</f>
      </c>
      <c r="AF49" s="306">
        <f>AF47/AF$30</f>
      </c>
      <c r="AG49" s="306">
        <f>AG47/AG$30</f>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c>
      <c r="K54" s="318">
        <f>K33</f>
        <v>0.13390003834845965</v>
      </c>
      <c r="L54" s="318">
        <f>L33</f>
        <v>0.18324784397722782</v>
      </c>
      <c r="M54" s="318">
        <f>M33</f>
        <v>-0.17168445121951215</v>
      </c>
      <c r="N54" s="318">
        <f>N33</f>
        <v>-0.07827237175063262</v>
      </c>
      <c r="O54" s="306">
        <f>O33</f>
      </c>
      <c r="P54" s="318">
        <f>P33</f>
        <v>0.22761589817183503</v>
      </c>
      <c r="Q54" s="318">
        <f>Q33</f>
        <v>0.3876493011435833</v>
      </c>
      <c r="R54" s="318">
        <f>R33</f>
        <v>-0.18288037506409782</v>
      </c>
      <c r="S54" s="318">
        <f>S33</f>
        <v>-0.08956026715675292</v>
      </c>
      <c r="T54" s="306">
        <f>T33</f>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0</v>
      </c>
      <c r="G59" s="317">
        <f>G35</f>
      </c>
      <c r="H59" s="317">
        <f>H35</f>
      </c>
      <c r="I59" s="317">
        <f>I35</f>
      </c>
      <c r="J59" s="287">
        <f>J35</f>
      </c>
      <c r="K59" s="317">
        <f>K35</f>
      </c>
      <c r="L59" s="317">
        <f>L35</f>
      </c>
      <c r="M59" s="317">
        <f>M35</f>
      </c>
      <c r="N59" s="317">
        <f>N35</f>
      </c>
      <c r="O59" s="287">
        <f>O35</f>
      </c>
      <c r="P59" s="317">
        <f>P35</f>
      </c>
      <c r="Q59" s="317">
        <f>Q35</f>
      </c>
      <c r="R59" s="317">
        <f>R35</f>
      </c>
      <c r="S59" s="317">
        <f>S35</f>
      </c>
      <c r="T59" s="287">
        <f>T35</f>
      </c>
      <c r="U59" s="317">
        <f>U35</f>
      </c>
      <c r="V59" s="317">
        <f>V35</f>
      </c>
      <c r="W59" s="317">
        <f>W35</f>
      </c>
      <c r="X59" s="286">
        <f>IF($C$25="Quarterly",W59*(1+X60),S59*(1+X60))</f>
        <v>0</v>
      </c>
      <c r="Y59" s="287">
        <f>SUM(U59:X59)</f>
        <v>0</v>
      </c>
      <c r="Z59" s="286">
        <f>IF($C$25="Quarterly",X59*(1+Z60),U59*(1+Z60))</f>
        <v>0</v>
      </c>
      <c r="AA59" s="286">
        <f t="shared" ref="AA59:AC59" si="28">IF($C$25="Quarterly",Z59*(1+AA60),V59*(1+AA60))</f>
        <v>0</v>
      </c>
      <c r="AB59" s="286">
        <f>IF($C$25="Quarterly",AA59*(1+AB60),W59*(1+AB60))</f>
      </c>
      <c r="AC59" s="286">
        <f>IF($C$25="Quarterly",AB59*(1+AC60),X59*(1+AC60))</f>
      </c>
      <c r="AD59" s="287">
        <f>SUM(Z59:AC59)</f>
        <v>0</v>
      </c>
      <c r="AE59" s="287">
        <f t="shared" ref="AE59:AG59" si="29">AD59*(1+AE60)</f>
        <v>0</v>
      </c>
      <c r="AF59" s="287">
        <f>AE59*(1+AF60)</f>
      </c>
      <c r="AG59" s="287">
        <f>AF59*(1+AG60)</f>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0</v>
      </c>
      <c r="G65" s="317">
        <f>G38</f>
      </c>
      <c r="H65" s="317">
        <f>H38</f>
      </c>
      <c r="I65" s="317">
        <f>I38</f>
      </c>
      <c r="J65" s="287">
        <f>J38</f>
      </c>
      <c r="K65" s="317">
        <f>K38</f>
      </c>
      <c r="L65" s="317">
        <f>L38</f>
      </c>
      <c r="M65" s="317">
        <f>M38</f>
      </c>
      <c r="N65" s="317">
        <f>N38</f>
      </c>
      <c r="O65" s="287">
        <f>O38</f>
      </c>
      <c r="P65" s="317">
        <f>P38</f>
      </c>
      <c r="Q65" s="317">
        <f>Q38</f>
      </c>
      <c r="R65" s="317">
        <f>R38</f>
      </c>
      <c r="S65" s="317">
        <f>S38</f>
      </c>
      <c r="T65" s="287">
        <f>T38</f>
      </c>
      <c r="U65" s="317">
        <f>U38</f>
      </c>
      <c r="V65" s="317">
        <f>V38</f>
      </c>
      <c r="W65" s="317">
        <f>W38</f>
      </c>
      <c r="X65" s="286">
        <f>IF($C$25="Quarterly",W65*(1+X66),S65*(1+X66))</f>
        <v>0</v>
      </c>
      <c r="Y65" s="287">
        <f>SUM(U65:X65)</f>
        <v>0</v>
      </c>
      <c r="Z65" s="286">
        <f>IF($C$25="Quarterly",X65*(1+Z66),U65*(1+Z66))</f>
        <v>0</v>
      </c>
      <c r="AA65" s="286">
        <f t="shared" ref="AA65:AC65" si="32">IF($C$25="Quarterly",Z65*(1+AA66),V65*(1+AA66))</f>
        <v>0</v>
      </c>
      <c r="AB65" s="286">
        <f>IF($C$25="Quarterly",AA65*(1+AB66),W65*(1+AB66))</f>
      </c>
      <c r="AC65" s="286">
        <f>IF($C$25="Quarterly",AB65*(1+AC66),X65*(1+AC66))</f>
      </c>
      <c r="AD65" s="287">
        <f>SUM(Z65:AC65)</f>
        <v>0</v>
      </c>
      <c r="AE65" s="287">
        <f t="shared" ref="AE65:AG65" si="33">AD65*(1+AE66)</f>
        <v>0</v>
      </c>
      <c r="AF65" s="287">
        <f>AE65*(1+AF66)</f>
      </c>
      <c r="AG65" s="287">
        <f>AF65*(1+AG66)</f>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c>
      <c r="K66" s="318" t="str">
        <f>K39</f>
        <v>N/A</v>
      </c>
      <c r="L66" s="318" t="str">
        <f>L39</f>
        <v>N/A</v>
      </c>
      <c r="M66" s="318" t="str">
        <f>M39</f>
        <v>N/A</v>
      </c>
      <c r="N66" s="318" t="str">
        <f>N39</f>
        <v>N/A</v>
      </c>
      <c r="O66" s="306">
        <f>O39</f>
      </c>
      <c r="P66" s="318" t="str">
        <f>P39</f>
        <v>N/A</v>
      </c>
      <c r="Q66" s="318" t="str">
        <f>Q39</f>
        <v>N/A</v>
      </c>
      <c r="R66" s="318" t="str">
        <f>R39</f>
        <v>N/A</v>
      </c>
      <c r="S66" s="318" t="str">
        <f>S39</f>
        <v>N/A</v>
      </c>
      <c r="T66" s="306">
        <f>T39</f>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0</v>
      </c>
      <c r="G71" s="317">
        <f>G41</f>
      </c>
      <c r="H71" s="317">
        <f>H41</f>
      </c>
      <c r="I71" s="317">
        <f>I41</f>
      </c>
      <c r="J71" s="287">
        <f>J41</f>
      </c>
      <c r="K71" s="317">
        <f>K41</f>
      </c>
      <c r="L71" s="317">
        <f>L41</f>
      </c>
      <c r="M71" s="317">
        <f>M41</f>
      </c>
      <c r="N71" s="317">
        <f>N41</f>
      </c>
      <c r="O71" s="287">
        <f>O41</f>
      </c>
      <c r="P71" s="317">
        <f>P41</f>
      </c>
      <c r="Q71" s="317">
        <f>Q41</f>
      </c>
      <c r="R71" s="317">
        <f>R41</f>
      </c>
      <c r="S71" s="317">
        <f>S41</f>
      </c>
      <c r="T71" s="287">
        <f>T41</f>
      </c>
      <c r="U71" s="317">
        <f>U41</f>
      </c>
      <c r="V71" s="317">
        <f>V41</f>
      </c>
      <c r="W71" s="317">
        <f>W41</f>
      </c>
      <c r="X71" s="286">
        <f>IF($C$25="Quarterly",W71*(1+X72),S71*(1+X72))</f>
        <v>0</v>
      </c>
      <c r="Y71" s="287">
        <f>SUM(U71:X71)</f>
        <v>0</v>
      </c>
      <c r="Z71" s="286">
        <f>IF($C$25="Quarterly",X71*(1+Z72),U71*(1+Z72))</f>
        <v>0</v>
      </c>
      <c r="AA71" s="286">
        <f t="shared" ref="AA71:AC71" si="36">IF($C$25="Quarterly",Z71*(1+AA72),V71*(1+AA72))</f>
        <v>0</v>
      </c>
      <c r="AB71" s="286">
        <f>IF($C$25="Quarterly",AA71*(1+AB72),W71*(1+AB72))</f>
      </c>
      <c r="AC71" s="286">
        <f>IF($C$25="Quarterly",AB71*(1+AC72),X71*(1+AC72))</f>
      </c>
      <c r="AD71" s="287">
        <f>SUM(Z71:AC71)</f>
        <v>0</v>
      </c>
      <c r="AE71" s="287">
        <f t="shared" ref="AE71:AG71" si="37">AD71*(1+AE72)</f>
        <v>0</v>
      </c>
      <c r="AF71" s="287">
        <f>AE71*(1+AF72)</f>
      </c>
      <c r="AG71" s="287">
        <f>AF71*(1+AG72)</f>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c>
      <c r="K72" s="318" t="str">
        <f>K42</f>
        <v>N/A</v>
      </c>
      <c r="L72" s="318" t="str">
        <f>L42</f>
        <v>N/A</v>
      </c>
      <c r="M72" s="318" t="str">
        <f>M42</f>
        <v>N/A</v>
      </c>
      <c r="N72" s="318" t="str">
        <f>N42</f>
        <v>N/A</v>
      </c>
      <c r="O72" s="306">
        <f>O42</f>
      </c>
      <c r="P72" s="318" t="str">
        <f>P42</f>
        <v>N/A</v>
      </c>
      <c r="Q72" s="318" t="str">
        <f>Q42</f>
        <v>N/A</v>
      </c>
      <c r="R72" s="318" t="str">
        <f>R42</f>
        <v>N/A</v>
      </c>
      <c r="S72" s="318" t="str">
        <f>S42</f>
        <v>N/A</v>
      </c>
      <c r="T72" s="306">
        <f>T42</f>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0</v>
      </c>
      <c r="G77" s="317">
        <f>G44</f>
      </c>
      <c r="H77" s="317">
        <f>H44</f>
      </c>
      <c r="I77" s="317">
        <f>I44</f>
      </c>
      <c r="J77" s="287">
        <f>J44</f>
      </c>
      <c r="K77" s="317">
        <f>K44</f>
      </c>
      <c r="L77" s="317">
        <f>L44</f>
      </c>
      <c r="M77" s="317">
        <f>M44</f>
      </c>
      <c r="N77" s="317">
        <f>N44</f>
      </c>
      <c r="O77" s="287">
        <f>O44</f>
      </c>
      <c r="P77" s="317">
        <f>P44</f>
      </c>
      <c r="Q77" s="317">
        <f>Q44</f>
      </c>
      <c r="R77" s="317">
        <f>R44</f>
      </c>
      <c r="S77" s="317">
        <f>S44</f>
      </c>
      <c r="T77" s="287">
        <f>T44</f>
      </c>
      <c r="U77" s="317">
        <f>U44</f>
      </c>
      <c r="V77" s="317">
        <f>V44</f>
      </c>
      <c r="W77" s="317">
        <f>W44</f>
      </c>
      <c r="X77" s="286">
        <f>IF($C$25="Quarterly",W77*(1+X78),S77*(1+X78))</f>
        <v>0</v>
      </c>
      <c r="Y77" s="287">
        <f>SUM(U77:X77)</f>
        <v>0</v>
      </c>
      <c r="Z77" s="286">
        <f>IF($C$25="Quarterly",X77*(1+Z78),U77*(1+Z78))</f>
        <v>0</v>
      </c>
      <c r="AA77" s="286">
        <f t="shared" ref="AA77:AC77" si="40">IF($C$25="Quarterly",Z77*(1+AA78),V77*(1+AA78))</f>
        <v>0</v>
      </c>
      <c r="AB77" s="286">
        <f>IF($C$25="Quarterly",AA77*(1+AB78),W77*(1+AB78))</f>
      </c>
      <c r="AC77" s="286">
        <f>IF($C$25="Quarterly",AB77*(1+AC78),X77*(1+AC78))</f>
      </c>
      <c r="AD77" s="287">
        <f>SUM(Z77:AC77)</f>
        <v>0</v>
      </c>
      <c r="AE77" s="287">
        <f t="shared" ref="AE77:AG77" si="41">AD77*(1+AE78)</f>
        <v>0</v>
      </c>
      <c r="AF77" s="287">
        <f>AE77*(1+AF78)</f>
      </c>
      <c r="AG77" s="287">
        <f>AF77*(1+AG78)</f>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c>
      <c r="K78" s="318" t="str">
        <f>K45</f>
        <v>N/A</v>
      </c>
      <c r="L78" s="318" t="str">
        <f>L45</f>
        <v>N/A</v>
      </c>
      <c r="M78" s="318" t="str">
        <f>M45</f>
        <v>N/A</v>
      </c>
      <c r="N78" s="318" t="str">
        <f>N45</f>
        <v>N/A</v>
      </c>
      <c r="O78" s="306">
        <f>O45</f>
      </c>
      <c r="P78" s="318" t="str">
        <f>P45</f>
        <v>N/A</v>
      </c>
      <c r="Q78" s="318" t="str">
        <f>Q45</f>
        <v>N/A</v>
      </c>
      <c r="R78" s="318" t="str">
        <f>R45</f>
        <v>N/A</v>
      </c>
      <c r="S78" s="318" t="str">
        <f>S45</f>
        <v>N/A</v>
      </c>
      <c r="T78" s="306">
        <f>T45</f>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0</v>
      </c>
      <c r="G83" s="317">
        <f>G47</f>
      </c>
      <c r="H83" s="317">
        <f>H47</f>
      </c>
      <c r="I83" s="317">
        <f>I47</f>
      </c>
      <c r="J83" s="287">
        <f>J47</f>
      </c>
      <c r="K83" s="317">
        <f>K47</f>
      </c>
      <c r="L83" s="317">
        <f>L47</f>
      </c>
      <c r="M83" s="317">
        <f>M47</f>
      </c>
      <c r="N83" s="317">
        <f>N47</f>
      </c>
      <c r="O83" s="287">
        <f>O47</f>
      </c>
      <c r="P83" s="317">
        <f>P47</f>
      </c>
      <c r="Q83" s="317">
        <f>Q47</f>
      </c>
      <c r="R83" s="317">
        <f>R47</f>
      </c>
      <c r="S83" s="317">
        <f>S47</f>
      </c>
      <c r="T83" s="287">
        <f>T47</f>
      </c>
      <c r="U83" s="317">
        <f>U47</f>
      </c>
      <c r="V83" s="317">
        <f>V47</f>
      </c>
      <c r="W83" s="317">
        <f>W47</f>
      </c>
      <c r="X83" s="286">
        <f>IF($C$25="Quarterly",W83*(1+X84),S83*(1+X84))</f>
        <v>0</v>
      </c>
      <c r="Y83" s="287">
        <f>SUM(U83:X83)</f>
        <v>0</v>
      </c>
      <c r="Z83" s="286">
        <f>IF($C$25="Quarterly",X83*(1+Z84),U83*(1+Z84))</f>
        <v>0</v>
      </c>
      <c r="AA83" s="286">
        <f t="shared" ref="AA83:AC83" si="44">IF($C$25="Quarterly",Z83*(1+AA84),V83*(1+AA84))</f>
        <v>0</v>
      </c>
      <c r="AB83" s="286">
        <f>IF($C$25="Quarterly",AA83*(1+AB84),W83*(1+AB84))</f>
      </c>
      <c r="AC83" s="286">
        <f>IF($C$25="Quarterly",AB83*(1+AC84),X83*(1+AC84))</f>
      </c>
      <c r="AD83" s="287">
        <f>SUM(Z83:AC83)</f>
        <v>0</v>
      </c>
      <c r="AE83" s="287">
        <f t="shared" ref="AE83:AG83" si="45">AD83*(1+AE84)</f>
        <v>0</v>
      </c>
      <c r="AF83" s="287">
        <f>AE83*(1+AF84)</f>
      </c>
      <c r="AG83" s="287">
        <f>AF83*(1+AG84)</f>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c>
      <c r="K84" s="318" t="str">
        <f>K48</f>
        <v>N/A</v>
      </c>
      <c r="L84" s="318" t="str">
        <f>L48</f>
        <v>N/A</v>
      </c>
      <c r="M84" s="318" t="str">
        <f>M48</f>
        <v>N/A</v>
      </c>
      <c r="N84" s="318" t="str">
        <f>N48</f>
        <v>N/A</v>
      </c>
      <c r="O84" s="306">
        <f>O48</f>
      </c>
      <c r="P84" s="318" t="str">
        <f>P48</f>
        <v>N/A</v>
      </c>
      <c r="Q84" s="318" t="str">
        <f>Q48</f>
        <v>N/A</v>
      </c>
      <c r="R84" s="318" t="str">
        <f>R48</f>
        <v>N/A</v>
      </c>
      <c r="S84" s="318" t="str">
        <f>S48</f>
        <v>N/A</v>
      </c>
      <c r="T84" s="306">
        <f>T48</f>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0</v>
      </c>
      <c r="Y85" s="321"/>
      <c r="Z85" s="320">
        <f t="shared" ref="Z85:Z87" si="48">X85</f>
        <v>0</v>
      </c>
      <c r="AA85" s="320">
        <f t="shared" ref="AA85:AC85" si="49">Z85</f>
        <v>0</v>
      </c>
      <c r="AB85" s="320">
        <f>AA85</f>
      </c>
      <c r="AC85" s="320">
        <f>AB85</f>
      </c>
      <c r="AD85" s="321"/>
      <c r="AE85" s="321">
        <f t="shared" ref="AE85:AE87" si="50">AC85</f>
        <v>0</v>
      </c>
      <c r="AF85" s="321">
        <f t="shared" ref="AF85:AG85" si="51">AE85</f>
        <v>0</v>
      </c>
      <c r="AG85" s="321">
        <f>AF85</f>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c>
      <c r="Y86" s="321"/>
      <c r="Z86" s="320">
        <f>X86</f>
      </c>
      <c r="AA86" s="320">
        <f t="shared" ref="AA86:AC86" si="52">Z86</f>
        <v>0</v>
      </c>
      <c r="AB86" s="320">
        <f>AA86</f>
      </c>
      <c r="AC86" s="320">
        <f>AB86</f>
      </c>
      <c r="AD86" s="321"/>
      <c r="AE86" s="321">
        <f>AC86</f>
      </c>
      <c r="AF86" s="321">
        <f t="shared" ref="AF86:AG86" si="53">AE86</f>
        <v>0</v>
      </c>
      <c r="AG86" s="321">
        <f>AF86</f>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c>
      <c r="Y87" s="321"/>
      <c r="Z87" s="320">
        <f>X87</f>
      </c>
      <c r="AA87" s="320">
        <f t="shared" ref="AA87:AC87" si="54">Z87</f>
        <v>0</v>
      </c>
      <c r="AB87" s="320">
        <f>AA87</f>
      </c>
      <c r="AC87" s="320">
        <f>AB87</f>
      </c>
      <c r="AD87" s="321"/>
      <c r="AE87" s="321">
        <f>AC87</f>
      </c>
      <c r="AF87" s="321">
        <f t="shared" ref="AF87:AG87" si="55">AE87</f>
        <v>0</v>
      </c>
      <c r="AG87" s="321">
        <f>AF87</f>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0</v>
      </c>
      <c r="G103" s="317">
        <f>G35</f>
      </c>
      <c r="H103" s="317">
        <f>H35</f>
      </c>
      <c r="I103" s="317">
        <f>I35</f>
      </c>
      <c r="J103" s="287">
        <f>J35</f>
      </c>
      <c r="K103" s="317">
        <f>K35</f>
      </c>
      <c r="L103" s="317">
        <f>L35</f>
      </c>
      <c r="M103" s="317">
        <f>M35</f>
      </c>
      <c r="N103" s="317">
        <f>N35</f>
      </c>
      <c r="O103" s="287">
        <f>O35</f>
      </c>
      <c r="P103" s="317">
        <f>P35</f>
      </c>
      <c r="Q103" s="317">
        <f>Q35</f>
      </c>
      <c r="R103" s="317">
        <f>R35</f>
      </c>
      <c r="S103" s="317">
        <f>S35</f>
      </c>
      <c r="T103" s="287">
        <f>T35</f>
      </c>
      <c r="U103" s="317">
        <f>U35</f>
      </c>
      <c r="V103" s="317">
        <f>V35</f>
      </c>
      <c r="W103" s="317">
        <f>W35</f>
      </c>
      <c r="X103" s="286">
        <f>X104*X109</f>
        <v>0</v>
      </c>
      <c r="Y103" s="287">
        <f t="shared" ref="Y103:Y104" si="76">SUM(U103:X103)</f>
        <v>0</v>
      </c>
      <c r="Z103" s="286">
        <f t="shared" ref="Z103:AC103" si="77">Z104*Z109</f>
        <v>0</v>
      </c>
      <c r="AA103" s="286">
        <f>AA104*AA109</f>
      </c>
      <c r="AB103" s="286">
        <f>AB104*AB109</f>
      </c>
      <c r="AC103" s="286">
        <f>AC104*AC109</f>
      </c>
      <c r="AD103" s="287">
        <f t="shared" ref="AD103:AD104" si="78">SUM(Z103:AC103)</f>
        <v>0</v>
      </c>
      <c r="AE103" s="287">
        <f t="shared" ref="AE103:AG103" si="79">AE104*AE109</f>
        <v>0</v>
      </c>
      <c r="AF103" s="287">
        <f>AF104*AF109</f>
      </c>
      <c r="AG103" s="287">
        <f>AG104*AG109</f>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0</v>
      </c>
      <c r="Y109" s="287">
        <f>Y103/Y104</f>
        <v>0</v>
      </c>
      <c r="Z109" s="286">
        <f>X109*(1+Z110)</f>
        <v>0</v>
      </c>
      <c r="AA109" s="286">
        <f t="shared" ref="AA109:AC109" si="87">Z109*(1+AA110)</f>
        <v>0</v>
      </c>
      <c r="AB109" s="286">
        <f>AA109*(1+AB110)</f>
      </c>
      <c r="AC109" s="286">
        <f>AB109*(1+AC110)</f>
      </c>
      <c r="AD109" s="287">
        <f>AD103/AD104</f>
        <v>0</v>
      </c>
      <c r="AE109" s="287">
        <f t="shared" ref="AE109:AG109" si="88">AD109*(1+AE110)</f>
        <v>0</v>
      </c>
      <c r="AF109" s="287">
        <f>AE109*(1+AF110)</f>
      </c>
      <c r="AG109" s="287">
        <f>AF109*(1+AG110)</f>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0</v>
      </c>
      <c r="G115" s="317">
        <f>G38</f>
      </c>
      <c r="H115" s="317">
        <f>H38</f>
      </c>
      <c r="I115" s="317">
        <f>I38</f>
      </c>
      <c r="J115" s="287">
        <f>J38</f>
      </c>
      <c r="K115" s="317">
        <f>K38</f>
      </c>
      <c r="L115" s="317">
        <f>L38</f>
      </c>
      <c r="M115" s="317">
        <f>M38</f>
      </c>
      <c r="N115" s="317">
        <f>N38</f>
      </c>
      <c r="O115" s="287">
        <f>O38</f>
      </c>
      <c r="P115" s="317">
        <f>P38</f>
      </c>
      <c r="Q115" s="317">
        <f>Q38</f>
      </c>
      <c r="R115" s="317">
        <f>R38</f>
      </c>
      <c r="S115" s="317">
        <f>S38</f>
      </c>
      <c r="T115" s="287">
        <f>T38</f>
      </c>
      <c r="U115" s="317">
        <f>U38</f>
      </c>
      <c r="V115" s="317">
        <f>V38</f>
      </c>
      <c r="W115" s="317">
        <f>W38</f>
      </c>
      <c r="X115" s="286">
        <f>X116*X121</f>
        <v>0</v>
      </c>
      <c r="Y115" s="287">
        <f t="shared" ref="Y115:Y116" si="94">SUM(U115:X115)</f>
        <v>0</v>
      </c>
      <c r="Z115" s="286">
        <f t="shared" ref="Z115:AC115" si="95">Z116*Z121</f>
        <v>0</v>
      </c>
      <c r="AA115" s="286">
        <f>AA116*AA121</f>
      </c>
      <c r="AB115" s="286">
        <f>AB116*AB121</f>
      </c>
      <c r="AC115" s="286">
        <f>AC116*AC121</f>
      </c>
      <c r="AD115" s="287">
        <f t="shared" ref="AD115:AD116" si="96">SUM(Z115:AC115)</f>
        <v>0</v>
      </c>
      <c r="AE115" s="287">
        <f t="shared" ref="AE115:AG115" si="97">AE116*AE121</f>
        <v>0</v>
      </c>
      <c r="AF115" s="287">
        <f>AF116*AF121</f>
      </c>
      <c r="AG115" s="287">
        <f>AG116*AG121</f>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0</v>
      </c>
      <c r="Y121" s="287">
        <f>Y115/Y116</f>
        <v>0</v>
      </c>
      <c r="Z121" s="286">
        <f>X121*(1+Z122)</f>
        <v>0</v>
      </c>
      <c r="AA121" s="286">
        <f t="shared" ref="AA121:AC121" si="105">Z121*(1+AA122)</f>
        <v>0</v>
      </c>
      <c r="AB121" s="286">
        <f>AA121*(1+AB122)</f>
      </c>
      <c r="AC121" s="286">
        <f>AB121*(1+AC122)</f>
      </c>
      <c r="AD121" s="287">
        <f>AD115/AD116</f>
        <v>0</v>
      </c>
      <c r="AE121" s="287">
        <f t="shared" ref="AE121:AG121" si="106">AD121*(1+AE122)</f>
        <v>0</v>
      </c>
      <c r="AF121" s="287">
        <f>AE121*(1+AF122)</f>
      </c>
      <c r="AG121" s="287">
        <f>AF121*(1+AG122)</f>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0</v>
      </c>
      <c r="G127" s="317">
        <f>G41</f>
      </c>
      <c r="H127" s="317">
        <f>H41</f>
      </c>
      <c r="I127" s="317">
        <f>I41</f>
      </c>
      <c r="J127" s="287">
        <f>J41</f>
      </c>
      <c r="K127" s="317">
        <f>K41</f>
      </c>
      <c r="L127" s="317">
        <f>L41</f>
      </c>
      <c r="M127" s="317">
        <f>M41</f>
      </c>
      <c r="N127" s="317">
        <f>N41</f>
      </c>
      <c r="O127" s="287">
        <f>O41</f>
      </c>
      <c r="P127" s="317">
        <f>P41</f>
      </c>
      <c r="Q127" s="317">
        <f>Q41</f>
      </c>
      <c r="R127" s="317">
        <f>R41</f>
      </c>
      <c r="S127" s="317">
        <f>S41</f>
      </c>
      <c r="T127" s="287">
        <f>T41</f>
      </c>
      <c r="U127" s="317">
        <f>U41</f>
      </c>
      <c r="V127" s="317">
        <f>V41</f>
      </c>
      <c r="W127" s="317">
        <f>W41</f>
      </c>
      <c r="X127" s="286">
        <f>X128*X133</f>
        <v>0</v>
      </c>
      <c r="Y127" s="287">
        <f t="shared" ref="Y127:Y128" si="112">SUM(U127:X127)</f>
        <v>0</v>
      </c>
      <c r="Z127" s="286">
        <f t="shared" ref="Z127:AC127" si="113">Z128*Z133</f>
        <v>0</v>
      </c>
      <c r="AA127" s="286">
        <f>AA128*AA133</f>
      </c>
      <c r="AB127" s="286">
        <f>AB128*AB133</f>
      </c>
      <c r="AC127" s="286">
        <f>AC128*AC133</f>
      </c>
      <c r="AD127" s="287">
        <f t="shared" ref="AD127:AD128" si="114">SUM(Z127:AC127)</f>
        <v>0</v>
      </c>
      <c r="AE127" s="287">
        <f t="shared" ref="AE127:AG127" si="115">AE128*AE133</f>
        <v>0</v>
      </c>
      <c r="AF127" s="287">
        <f>AF128*AF133</f>
      </c>
      <c r="AG127" s="287">
        <f>AG128*AG133</f>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0</v>
      </c>
      <c r="Y133" s="287">
        <f>Y127/Y128</f>
        <v>0</v>
      </c>
      <c r="Z133" s="286">
        <f>X133*(1+Z134)</f>
        <v>0</v>
      </c>
      <c r="AA133" s="286">
        <f t="shared" ref="AA133:AC133" si="123">Z133*(1+AA134)</f>
        <v>0</v>
      </c>
      <c r="AB133" s="286">
        <f>AA133*(1+AB134)</f>
      </c>
      <c r="AC133" s="286">
        <f>AB133*(1+AC134)</f>
      </c>
      <c r="AD133" s="287">
        <f>AD127/AD128</f>
        <v>0</v>
      </c>
      <c r="AE133" s="287">
        <f t="shared" ref="AE133:AG133" si="124">AD133*(1+AE134)</f>
        <v>0</v>
      </c>
      <c r="AF133" s="287">
        <f>AE133*(1+AF134)</f>
      </c>
      <c r="AG133" s="287">
        <f>AF133*(1+AG134)</f>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0</v>
      </c>
      <c r="G139" s="317">
        <f>G44</f>
      </c>
      <c r="H139" s="317">
        <f>H44</f>
      </c>
      <c r="I139" s="317">
        <f>I44</f>
      </c>
      <c r="J139" s="287">
        <f>J44</f>
      </c>
      <c r="K139" s="317">
        <f>K44</f>
      </c>
      <c r="L139" s="317">
        <f>L44</f>
      </c>
      <c r="M139" s="317">
        <f>M44</f>
      </c>
      <c r="N139" s="317">
        <f>N44</f>
      </c>
      <c r="O139" s="287">
        <f>O44</f>
      </c>
      <c r="P139" s="317">
        <f>P44</f>
      </c>
      <c r="Q139" s="317">
        <f>Q44</f>
      </c>
      <c r="R139" s="317">
        <f>R44</f>
      </c>
      <c r="S139" s="317">
        <f>S44</f>
      </c>
      <c r="T139" s="287">
        <f>T44</f>
      </c>
      <c r="U139" s="317">
        <f>U44</f>
      </c>
      <c r="V139" s="317">
        <f>V44</f>
      </c>
      <c r="W139" s="317">
        <f>W44</f>
      </c>
      <c r="X139" s="286">
        <f>X140*X145</f>
        <v>0</v>
      </c>
      <c r="Y139" s="287">
        <f t="shared" ref="Y139:Y140" si="130">SUM(U139:X139)</f>
        <v>0</v>
      </c>
      <c r="Z139" s="286">
        <f t="shared" ref="Z139:AC139" si="131">Z140*Z145</f>
        <v>0</v>
      </c>
      <c r="AA139" s="286">
        <f>AA140*AA145</f>
      </c>
      <c r="AB139" s="286">
        <f>AB140*AB145</f>
      </c>
      <c r="AC139" s="286">
        <f>AC140*AC145</f>
      </c>
      <c r="AD139" s="287">
        <f t="shared" ref="AD139:AD140" si="132">SUM(Z139:AC139)</f>
        <v>0</v>
      </c>
      <c r="AE139" s="287">
        <f t="shared" ref="AE139:AG139" si="133">AE140*AE145</f>
        <v>0</v>
      </c>
      <c r="AF139" s="287">
        <f>AF140*AF145</f>
      </c>
      <c r="AG139" s="287">
        <f>AG140*AG145</f>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0</v>
      </c>
      <c r="Y145" s="287">
        <f>Y139/Y140</f>
        <v>0</v>
      </c>
      <c r="Z145" s="286">
        <f>X145*(1+Z146)</f>
        <v>0</v>
      </c>
      <c r="AA145" s="286">
        <f t="shared" ref="AA145:AC145" si="141">Z145*(1+AA146)</f>
        <v>0</v>
      </c>
      <c r="AB145" s="286">
        <f>AA145*(1+AB146)</f>
      </c>
      <c r="AC145" s="286">
        <f>AB145*(1+AC146)</f>
      </c>
      <c r="AD145" s="287">
        <f>AD139/AD140</f>
        <v>0</v>
      </c>
      <c r="AE145" s="287">
        <f t="shared" ref="AE145:AG145" si="142">AD145*(1+AE146)</f>
        <v>0</v>
      </c>
      <c r="AF145" s="287">
        <f>AE145*(1+AF146)</f>
      </c>
      <c r="AG145" s="287">
        <f>AF145*(1+AG146)</f>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0</v>
      </c>
      <c r="G151" s="317">
        <f>G47</f>
      </c>
      <c r="H151" s="317">
        <f>H47</f>
      </c>
      <c r="I151" s="317">
        <f>I47</f>
      </c>
      <c r="J151" s="287">
        <f>J47</f>
      </c>
      <c r="K151" s="317">
        <f>K47</f>
      </c>
      <c r="L151" s="317">
        <f>L47</f>
      </c>
      <c r="M151" s="317">
        <f>M47</f>
      </c>
      <c r="N151" s="317">
        <f>N47</f>
      </c>
      <c r="O151" s="287">
        <f>O47</f>
      </c>
      <c r="P151" s="317">
        <f>P47</f>
      </c>
      <c r="Q151" s="317">
        <f>Q47</f>
      </c>
      <c r="R151" s="317">
        <f>R47</f>
      </c>
      <c r="S151" s="317">
        <f>S47</f>
      </c>
      <c r="T151" s="287">
        <f>T47</f>
      </c>
      <c r="U151" s="317">
        <f>U47</f>
      </c>
      <c r="V151" s="317">
        <f>V47</f>
      </c>
      <c r="W151" s="317">
        <f>W47</f>
      </c>
      <c r="X151" s="286">
        <f>X152*X157</f>
        <v>0</v>
      </c>
      <c r="Y151" s="287">
        <f t="shared" ref="Y151:Y152" si="148">SUM(U151:X151)</f>
        <v>0</v>
      </c>
      <c r="Z151" s="286">
        <f t="shared" ref="Z151:AC151" si="149">Z152*Z157</f>
        <v>0</v>
      </c>
      <c r="AA151" s="286">
        <f>AA152*AA157</f>
      </c>
      <c r="AB151" s="286">
        <f>AB152*AB157</f>
      </c>
      <c r="AC151" s="286">
        <f>AC152*AC157</f>
      </c>
      <c r="AD151" s="287">
        <f t="shared" ref="AD151:AD152" si="150">SUM(Z151:AC151)</f>
        <v>0</v>
      </c>
      <c r="AE151" s="287">
        <f t="shared" ref="AE151:AG151" si="151">AE152*AE157</f>
        <v>0</v>
      </c>
      <c r="AF151" s="287">
        <f>AF152*AF157</f>
      </c>
      <c r="AG151" s="287">
        <f>AG152*AG157</f>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0</v>
      </c>
      <c r="Y152" s="326">
        <f>SUM(U152:X152)</f>
      </c>
      <c r="Z152" s="327">
        <f>X152*(1+Z153)</f>
        <v>0</v>
      </c>
      <c r="AA152" s="327">
        <f t="shared" ref="AA152:AC152" si="152">Z152*(1+AA153)</f>
        <v>0</v>
      </c>
      <c r="AB152" s="327">
        <f>AA152*(1+AB153)</f>
      </c>
      <c r="AC152" s="327">
        <f>AB152*(1+AC153)</f>
      </c>
      <c r="AD152" s="326">
        <f>SUM(Z152:AC152)</f>
      </c>
      <c r="AE152" s="326">
        <f t="shared" ref="AE152:AG152" si="153">AD152*(1+AE153)</f>
        <v>0</v>
      </c>
      <c r="AF152" s="326">
        <f>AE152*(1+AF153)</f>
      </c>
      <c r="AG152" s="326">
        <f>AF152*(1+AG153)</f>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0</v>
      </c>
      <c r="Y157" s="287">
        <v>0</v>
      </c>
      <c r="Z157" s="286">
        <f>X157*(1+Z158)</f>
        <v>0</v>
      </c>
      <c r="AA157" s="286">
        <f t="shared" ref="AA157:AC157" si="158">Z157*(1+AA158)</f>
        <v>0</v>
      </c>
      <c r="AB157" s="286">
        <f>AA157*(1+AB158)</f>
      </c>
      <c r="AC157" s="286">
        <f>AB157*(1+AC158)</f>
      </c>
      <c r="AD157" s="287">
        <v>0</v>
      </c>
      <c r="AE157" s="287">
        <f t="shared" ref="AE157:AG157" si="159">AD157*(1+AE158)</f>
        <v>0</v>
      </c>
      <c r="AF157" s="287">
        <f>AE157*(1+AF158)</f>
      </c>
      <c r="AG157" s="287">
        <f>AF157*(1+AG158)</f>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0</v>
      </c>
      <c r="G177" s="317">
        <f>G35</f>
      </c>
      <c r="H177" s="317">
        <f>H35</f>
      </c>
      <c r="I177" s="317">
        <f>I35</f>
      </c>
      <c r="J177" s="287">
        <f>J35</f>
      </c>
      <c r="K177" s="317">
        <f>K35</f>
      </c>
      <c r="L177" s="317">
        <f>L35</f>
      </c>
      <c r="M177" s="317">
        <f>M35</f>
      </c>
      <c r="N177" s="317">
        <f>N35</f>
      </c>
      <c r="O177" s="287">
        <f>O35</f>
      </c>
      <c r="P177" s="317">
        <f>P35</f>
      </c>
      <c r="Q177" s="317">
        <f>Q35</f>
      </c>
      <c r="R177" s="317">
        <f>R35</f>
      </c>
      <c r="S177" s="317">
        <f>S35</f>
      </c>
      <c r="T177" s="287">
        <f>T35</f>
      </c>
      <c r="U177" s="317">
        <f>U35</f>
      </c>
      <c r="V177" s="317">
        <f>V35</f>
      </c>
      <c r="W177" s="317">
        <f>W35</f>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0</v>
      </c>
      <c r="G189" s="317">
        <f>G55</f>
      </c>
      <c r="H189" s="317">
        <f>H55</f>
      </c>
      <c r="I189" s="317">
        <f>I55</f>
      </c>
      <c r="J189" s="287">
        <f>J55</f>
      </c>
      <c r="K189" s="317">
        <f>K55</f>
      </c>
      <c r="L189" s="317">
        <f>L55</f>
      </c>
      <c r="M189" s="317">
        <f>M55</f>
      </c>
      <c r="N189" s="317">
        <f>N55</f>
      </c>
      <c r="O189" s="287">
        <f>O55</f>
      </c>
      <c r="P189" s="317">
        <f>P55</f>
      </c>
      <c r="Q189" s="317">
        <f>Q55</f>
      </c>
      <c r="R189" s="317">
        <f>R55</f>
      </c>
      <c r="S189" s="317">
        <f>S55</f>
      </c>
      <c r="T189" s="287">
        <f>T55</f>
      </c>
      <c r="U189" s="317">
        <f>U55</f>
      </c>
      <c r="V189" s="317">
        <f>V55</f>
      </c>
      <c r="W189" s="317">
        <f>W55</f>
      </c>
      <c r="X189" s="286">
        <f>X191/X196</f>
        <v>0</v>
      </c>
      <c r="Y189" s="287">
        <f>SUM(U189:X189)</f>
        <v>0</v>
      </c>
      <c r="Z189" s="286">
        <f t="shared" ref="Z189:AC189" si="198">Z191/Z196</f>
        <v>0</v>
      </c>
      <c r="AA189" s="286">
        <f>AA191/AA196</f>
      </c>
      <c r="AB189" s="286">
        <f>AB191/AB196</f>
      </c>
      <c r="AC189" s="286">
        <f>AC191/AC196</f>
      </c>
      <c r="AD189" s="287">
        <f>SUM(Z189:AC189)</f>
        <v>0</v>
      </c>
      <c r="AE189" s="287">
        <f t="shared" ref="AE189:AG189" si="199">AE191/AE196</f>
        <v>0</v>
      </c>
      <c r="AF189" s="287">
        <f>AF191/AF196</f>
      </c>
      <c r="AG189" s="287">
        <f>AG191/AG196</f>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0</v>
      </c>
      <c r="Y190" s="326">
        <f>T190+Y191-Y189</f>
        <v>0</v>
      </c>
      <c r="Z190" s="327">
        <f>X190+Z191-Z189</f>
        <v>0</v>
      </c>
      <c r="AA190" s="327">
        <f t="shared" ref="AA190:AC190" si="200">Z190+AA191-AA189</f>
        <v>0</v>
      </c>
      <c r="AB190" s="327">
        <f>AA190+AB191-AB189</f>
      </c>
      <c r="AC190" s="327">
        <f>AB190+AC191-AC189</f>
      </c>
      <c r="AD190" s="326">
        <f>Y190+AD191-AD189</f>
        <v>0</v>
      </c>
      <c r="AE190" s="326">
        <f t="shared" ref="AE190:AG190" si="201">AD190+AE191-AE189</f>
        <v>0</v>
      </c>
      <c r="AF190" s="326">
        <f>AE190+AF191-AF189</f>
      </c>
      <c r="AG190" s="326">
        <f>AF190+AG191-AG189</f>
      </c>
      <c r="AH190" s="16"/>
      <c r="AI190" s="16"/>
      <c r="AJ190" s="16"/>
    </row>
    <row r="191" ht="12.75" customHeight="1" hidden="1" spans="1:36" x14ac:dyDescent="0.25" outlineLevel="1" collapsed="1">
      <c r="A191" s="16"/>
      <c r="B191" s="16"/>
      <c r="C191" s="139" t="s">
        <v>259</v>
      </c>
      <c r="D191" s="16"/>
      <c r="E191" s="16"/>
      <c r="F191" s="325">
        <f>F190+F189-(0)</f>
        <v>0</v>
      </c>
      <c r="G191" s="325">
        <f t="shared" ref="G191:I191" si="202">G190+G189-F190</f>
        <v>0</v>
      </c>
      <c r="H191" s="325">
        <f>H190+H189-G190</f>
      </c>
      <c r="I191" s="325">
        <f>I190+I189-H190</f>
      </c>
      <c r="J191" s="326">
        <f>SUM(F191:I191)</f>
        <v>0</v>
      </c>
      <c r="K191" s="325">
        <f t="shared" ref="K191:N191" si="203">K190+K189-J190</f>
        <v>0</v>
      </c>
      <c r="L191" s="325">
        <f>L190+L189-K190</f>
      </c>
      <c r="M191" s="325">
        <f>M190+M189-L190</f>
      </c>
      <c r="N191" s="325">
        <f>N190+N189-M190</f>
      </c>
      <c r="O191" s="326">
        <f>SUM(K191:N191)</f>
        <v>0</v>
      </c>
      <c r="P191" s="325">
        <f t="shared" ref="P191:S191" si="204">P190+P189-O190</f>
        <v>0</v>
      </c>
      <c r="Q191" s="325">
        <f>Q190+Q189-P190</f>
      </c>
      <c r="R191" s="325">
        <f>R190+R189-Q190</f>
      </c>
      <c r="S191" s="325">
        <f>S190+S189-R190</f>
      </c>
      <c r="T191" s="326">
        <f>SUM(P191:S191)</f>
        <v>0</v>
      </c>
      <c r="U191" s="325">
        <f t="shared" ref="U191:W191" si="205">U190+U189-T190</f>
        <v>0</v>
      </c>
      <c r="V191" s="325">
        <f>V190+V189-U190</f>
      </c>
      <c r="W191" s="325">
        <f>W190+W189-V190</f>
      </c>
      <c r="X191" s="327">
        <f>W191*(1+X192)</f>
        <v>0</v>
      </c>
      <c r="Y191" s="326">
        <f>SUM(U191:X191)</f>
        <v>0</v>
      </c>
      <c r="Z191" s="327">
        <f>X191*(1+Z192)</f>
        <v>0</v>
      </c>
      <c r="AA191" s="327">
        <f t="shared" ref="AA191:AC191" si="206">Z191*(1+AA192)</f>
        <v>0</v>
      </c>
      <c r="AB191" s="327">
        <f>AA191*(1+AB192)</f>
      </c>
      <c r="AC191" s="327">
        <f>AB191*(1+AC192)</f>
      </c>
      <c r="AD191" s="326">
        <f>SUM(Z191:AC191)</f>
        <v>0</v>
      </c>
      <c r="AE191" s="326">
        <f t="shared" ref="AE191:AG191" si="207">AD191*(1+AE192)</f>
        <v>0</v>
      </c>
      <c r="AF191" s="326">
        <f>AE191*(1+AF192)</f>
      </c>
      <c r="AG191" s="326">
        <f>AF191*(1+AG192)</f>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0</v>
      </c>
      <c r="G201" s="317">
        <f>G67</f>
      </c>
      <c r="H201" s="317">
        <f>H67</f>
      </c>
      <c r="I201" s="317">
        <f>I67</f>
      </c>
      <c r="J201" s="287">
        <f>J67</f>
      </c>
      <c r="K201" s="317">
        <f>K67</f>
      </c>
      <c r="L201" s="317">
        <f>L67</f>
      </c>
      <c r="M201" s="317">
        <f>M67</f>
      </c>
      <c r="N201" s="317">
        <f>N67</f>
      </c>
      <c r="O201" s="287">
        <f>O67</f>
      </c>
      <c r="P201" s="317">
        <f>P67</f>
      </c>
      <c r="Q201" s="317">
        <f>Q67</f>
      </c>
      <c r="R201" s="317">
        <f>R67</f>
      </c>
      <c r="S201" s="317">
        <f>S67</f>
      </c>
      <c r="T201" s="287">
        <f>T67</f>
      </c>
      <c r="U201" s="317">
        <f>U67</f>
      </c>
      <c r="V201" s="317">
        <f>V67</f>
      </c>
      <c r="W201" s="317">
        <f>W67</f>
      </c>
      <c r="X201" s="286">
        <f>X203/X208</f>
        <v>0</v>
      </c>
      <c r="Y201" s="287">
        <f>SUM(U201:X201)</f>
        <v>0</v>
      </c>
      <c r="Z201" s="286">
        <f t="shared" ref="Z201:AC201" si="214">Z203/Z208</f>
        <v>0</v>
      </c>
      <c r="AA201" s="286">
        <f>AA203/AA208</f>
      </c>
      <c r="AB201" s="286">
        <f>AB203/AB208</f>
      </c>
      <c r="AC201" s="286">
        <f>AC203/AC208</f>
      </c>
      <c r="AD201" s="287">
        <f>SUM(Z201:AC201)</f>
        <v>0</v>
      </c>
      <c r="AE201" s="287">
        <f t="shared" ref="AE201:AG201" si="215">AE203/AE208</f>
        <v>0</v>
      </c>
      <c r="AF201" s="287">
        <f>AF203/AF208</f>
      </c>
      <c r="AG201" s="287">
        <f>AG203/AG208</f>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0</v>
      </c>
      <c r="Y202" s="326">
        <f>T202+Y203-Y201</f>
        <v>0</v>
      </c>
      <c r="Z202" s="327">
        <f>X202+Z203-Z201</f>
        <v>0</v>
      </c>
      <c r="AA202" s="327">
        <f t="shared" ref="AA202:AC202" si="216">Z202+AA203-AA201</f>
        <v>0</v>
      </c>
      <c r="AB202" s="327">
        <f>AA202+AB203-AB201</f>
      </c>
      <c r="AC202" s="327">
        <f>AB202+AC203-AC201</f>
      </c>
      <c r="AD202" s="326">
        <f>Y202+AD203-AD201</f>
        <v>0</v>
      </c>
      <c r="AE202" s="326">
        <f t="shared" ref="AE202:AG202" si="217">AD202+AE203-AE201</f>
        <v>0</v>
      </c>
      <c r="AF202" s="326">
        <f>AE202+AF203-AF201</f>
      </c>
      <c r="AG202" s="326">
        <f>AF202+AG203-AG201</f>
      </c>
      <c r="AH202" s="16"/>
      <c r="AI202" s="16"/>
      <c r="AJ202" s="16"/>
    </row>
    <row r="203" ht="12.75" customHeight="1" hidden="1" spans="1:36" x14ac:dyDescent="0.25" outlineLevel="1" collapsed="1">
      <c r="A203" s="16"/>
      <c r="B203" s="16"/>
      <c r="C203" s="139" t="s">
        <v>259</v>
      </c>
      <c r="D203" s="16"/>
      <c r="E203" s="16"/>
      <c r="F203" s="325">
        <f>F202+F201-(0)</f>
        <v>0</v>
      </c>
      <c r="G203" s="325">
        <f t="shared" ref="G203:I203" si="218">G202+G201-F202</f>
        <v>0</v>
      </c>
      <c r="H203" s="325">
        <f>H202+H201-G202</f>
      </c>
      <c r="I203" s="325">
        <f>I202+I201-H202</f>
      </c>
      <c r="J203" s="326">
        <f>SUM(F203:I203)</f>
        <v>0</v>
      </c>
      <c r="K203" s="325">
        <f t="shared" ref="K203:N203" si="219">K202+K201-J202</f>
        <v>0</v>
      </c>
      <c r="L203" s="325">
        <f>L202+L201-K202</f>
      </c>
      <c r="M203" s="325">
        <f>M202+M201-L202</f>
      </c>
      <c r="N203" s="325">
        <f>N202+N201-M202</f>
      </c>
      <c r="O203" s="326">
        <f>SUM(K203:N203)</f>
        <v>0</v>
      </c>
      <c r="P203" s="325">
        <f t="shared" ref="P203:S203" si="220">P202+P201-O202</f>
        <v>0</v>
      </c>
      <c r="Q203" s="325">
        <f>Q202+Q201-P202</f>
      </c>
      <c r="R203" s="325">
        <f>R202+R201-Q202</f>
      </c>
      <c r="S203" s="325">
        <f>S202+S201-R202</f>
      </c>
      <c r="T203" s="326">
        <f>SUM(P203:S203)</f>
        <v>0</v>
      </c>
      <c r="U203" s="325">
        <f t="shared" ref="U203:W203" si="221">U202+U201-T202</f>
        <v>0</v>
      </c>
      <c r="V203" s="325">
        <f>V202+V201-U202</f>
      </c>
      <c r="W203" s="325">
        <f>W202+W201-V202</f>
      </c>
      <c r="X203" s="327">
        <f>W203*(1+X204)</f>
        <v>0</v>
      </c>
      <c r="Y203" s="326">
        <f>SUM(U203:X203)</f>
        <v>0</v>
      </c>
      <c r="Z203" s="327">
        <f>X203*(1+Z204)</f>
        <v>0</v>
      </c>
      <c r="AA203" s="327">
        <f t="shared" ref="AA203:AC203" si="222">Z203*(1+AA204)</f>
        <v>0</v>
      </c>
      <c r="AB203" s="327">
        <f>AA203*(1+AB204)</f>
      </c>
      <c r="AC203" s="327">
        <f>AB203*(1+AC204)</f>
      </c>
      <c r="AD203" s="326">
        <f>SUM(Z203:AC203)</f>
        <v>0</v>
      </c>
      <c r="AE203" s="326">
        <f t="shared" ref="AE203:AG203" si="223">AD203*(1+AE204)</f>
        <v>0</v>
      </c>
      <c r="AF203" s="326">
        <f>AE203*(1+AF204)</f>
      </c>
      <c r="AG203" s="326">
        <f>AF203*(1+AG204)</f>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0</v>
      </c>
      <c r="G213" s="317">
        <f>G44</f>
      </c>
      <c r="H213" s="317">
        <f>H44</f>
      </c>
      <c r="I213" s="317">
        <f>I44</f>
      </c>
      <c r="J213" s="287">
        <f>J44</f>
      </c>
      <c r="K213" s="317">
        <f>K44</f>
      </c>
      <c r="L213" s="317">
        <f>L44</f>
      </c>
      <c r="M213" s="317">
        <f>M44</f>
      </c>
      <c r="N213" s="317">
        <f>N44</f>
      </c>
      <c r="O213" s="287">
        <f>O44</f>
      </c>
      <c r="P213" s="317">
        <f>P44</f>
      </c>
      <c r="Q213" s="317">
        <f>Q44</f>
      </c>
      <c r="R213" s="317">
        <f>R44</f>
      </c>
      <c r="S213" s="317">
        <f>S44</f>
      </c>
      <c r="T213" s="287">
        <f>T44</f>
      </c>
      <c r="U213" s="317">
        <f>U44</f>
      </c>
      <c r="V213" s="317">
        <f>V44</f>
      </c>
      <c r="W213" s="317">
        <f>W44</f>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0</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0</v>
      </c>
      <c r="G215" s="325">
        <f t="shared" ref="G215:I215" si="234">G214+G213-F214</f>
        <v>0</v>
      </c>
      <c r="H215" s="325">
        <f>H214+H213-G214</f>
      </c>
      <c r="I215" s="325">
        <f>I214+I213-H214</f>
      </c>
      <c r="J215" s="326">
        <f>SUM(F215:I215)</f>
        <v>0</v>
      </c>
      <c r="K215" s="325">
        <f t="shared" ref="K215:L215" si="235">K214+K213-J214</f>
        <v>0</v>
      </c>
      <c r="L215" s="325">
        <f>L214+L213-K214</f>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0</v>
      </c>
      <c r="G225" s="317">
        <f>G47</f>
      </c>
      <c r="H225" s="317">
        <f>H47</f>
      </c>
      <c r="I225" s="317">
        <f>I47</f>
      </c>
      <c r="J225" s="287">
        <f>J47</f>
      </c>
      <c r="K225" s="317">
        <f>K47</f>
      </c>
      <c r="L225" s="317">
        <f>L47</f>
      </c>
      <c r="M225" s="317">
        <f>M47</f>
      </c>
      <c r="N225" s="317">
        <f>N47</f>
      </c>
      <c r="O225" s="287">
        <f>O47</f>
      </c>
      <c r="P225" s="317">
        <f>P47</f>
      </c>
      <c r="Q225" s="317">
        <f>Q47</f>
      </c>
      <c r="R225" s="317">
        <f>R47</f>
      </c>
      <c r="S225" s="317">
        <f>S47</f>
      </c>
      <c r="T225" s="287">
        <f>T47</f>
      </c>
      <c r="U225" s="317">
        <f>U47</f>
      </c>
      <c r="V225" s="317">
        <f>V47</f>
      </c>
      <c r="W225" s="317">
        <f>W47</f>
      </c>
      <c r="X225" s="286">
        <f>X227/X232</f>
        <v>0</v>
      </c>
      <c r="Y225" s="287">
        <f>SUM(U225:X225)</f>
        <v>0</v>
      </c>
      <c r="Z225" s="286">
        <f t="shared" ref="Z225:AC225" si="246">Z227/Z232</f>
        <v>0</v>
      </c>
      <c r="AA225" s="286">
        <f>AA227/AA232</f>
      </c>
      <c r="AB225" s="286">
        <f>AB227/AB232</f>
      </c>
      <c r="AC225" s="286">
        <f>AC227/AC232</f>
      </c>
      <c r="AD225" s="287">
        <f>SUM(Z225:AC225)</f>
        <v>0</v>
      </c>
      <c r="AE225" s="287">
        <f t="shared" ref="AE225:AG225" si="247">AE227/AE232</f>
        <v>0</v>
      </c>
      <c r="AF225" s="287">
        <f>AF227/AF232</f>
      </c>
      <c r="AG225" s="287">
        <f>AG227/AG232</f>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0</v>
      </c>
      <c r="Y226" s="326">
        <f>T226+Y227-Y225</f>
        <v>0</v>
      </c>
      <c r="Z226" s="327">
        <f>X226+Z227-Z225</f>
        <v>0</v>
      </c>
      <c r="AA226" s="327">
        <f t="shared" ref="AA226:AC226" si="248">Z226+AA227-AA225</f>
        <v>0</v>
      </c>
      <c r="AB226" s="327">
        <f>AA226+AB227-AB225</f>
      </c>
      <c r="AC226" s="327">
        <f>AB226+AC227-AC225</f>
      </c>
      <c r="AD226" s="326">
        <f>Y226+AD227-AD225</f>
        <v>0</v>
      </c>
      <c r="AE226" s="326">
        <f t="shared" ref="AE226:AG226" si="249">AD226+AE227-AE225</f>
        <v>0</v>
      </c>
      <c r="AF226" s="326">
        <f>AE226+AF227-AF225</f>
      </c>
      <c r="AG226" s="326">
        <f>AF226+AG227-AG225</f>
      </c>
      <c r="AH226" s="16"/>
      <c r="AI226" s="16"/>
      <c r="AJ226" s="16"/>
    </row>
    <row r="227" ht="12.75" customHeight="1" hidden="1" spans="1:36" x14ac:dyDescent="0.25" outlineLevel="1" collapsed="1">
      <c r="A227" s="16"/>
      <c r="B227" s="16"/>
      <c r="C227" s="139" t="s">
        <v>259</v>
      </c>
      <c r="D227" s="16"/>
      <c r="E227" s="16"/>
      <c r="F227" s="325">
        <f>F226+F225-(0)</f>
        <v>0</v>
      </c>
      <c r="G227" s="325">
        <f t="shared" ref="G227:I227" si="250">G226+G225-F226</f>
        <v>0</v>
      </c>
      <c r="H227" s="325">
        <f>H226+H225-G226</f>
      </c>
      <c r="I227" s="325">
        <f>I226+I225-H226</f>
      </c>
      <c r="J227" s="326">
        <f>SUM(F227:I227)</f>
        <v>0</v>
      </c>
      <c r="K227" s="325">
        <f t="shared" ref="K227:N227" si="251">K226+K225-J226</f>
        <v>0</v>
      </c>
      <c r="L227" s="325">
        <f>L226+L225-K226</f>
      </c>
      <c r="M227" s="325">
        <f>M226+M225-L226</f>
      </c>
      <c r="N227" s="325">
        <f>N226+N225-M226</f>
      </c>
      <c r="O227" s="326">
        <f>SUM(K227:N227)</f>
        <v>0</v>
      </c>
      <c r="P227" s="325">
        <f t="shared" ref="P227:S227" si="252">P226+P225-O226</f>
        <v>0</v>
      </c>
      <c r="Q227" s="325">
        <f>Q226+Q225-P226</f>
      </c>
      <c r="R227" s="325">
        <f>R226+R225-Q226</f>
      </c>
      <c r="S227" s="325">
        <f>S226+S225-R226</f>
      </c>
      <c r="T227" s="326">
        <f>SUM(P227:S227)</f>
        <v>0</v>
      </c>
      <c r="U227" s="325">
        <f t="shared" ref="U227:W227" si="253">U226+U225-T226</f>
        <v>0</v>
      </c>
      <c r="V227" s="325">
        <f>V226+V225-U226</f>
      </c>
      <c r="W227" s="325">
        <f>W226+W225-V226</f>
      </c>
      <c r="X227" s="327">
        <f>W227*(1+X228)</f>
        <v>0</v>
      </c>
      <c r="Y227" s="326">
        <f>SUM(U227:X227)</f>
        <v>0</v>
      </c>
      <c r="Z227" s="327">
        <f>X227*(1+Z228)</f>
        <v>0</v>
      </c>
      <c r="AA227" s="327">
        <f t="shared" ref="AA227:AC227" si="254">Z227*(1+AA228)</f>
        <v>0</v>
      </c>
      <c r="AB227" s="327">
        <f>AA227*(1+AB228)</f>
      </c>
      <c r="AC227" s="327">
        <f>AB227*(1+AC228)</f>
      </c>
      <c r="AD227" s="326">
        <f>SUM(Z227:AC227)</f>
        <v>0</v>
      </c>
      <c r="AE227" s="326">
        <f t="shared" ref="AE227:AG227" si="255">AD227*(1+AE228)</f>
        <v>0</v>
      </c>
      <c r="AF227" s="326">
        <f>AE227*(1+AF228)</f>
      </c>
      <c r="AG227" s="326">
        <f>AF227*(1+AG228)</f>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17360</v>
      </c>
      <c r="G28" s="353">
        <f>'Segment Analysis'!G7</f>
        <v>20888</v>
      </c>
      <c r="H28" s="353">
        <f>'Segment Analysis'!H7</f>
        <v>17415</v>
      </c>
      <c r="I28" s="353">
        <f>'Segment Analysis'!I7</f>
        <v>15646</v>
      </c>
      <c r="J28" s="282">
        <f t="shared" ref="J28:J30" si="7">SUM(F28:I28)</f>
        <v>71309</v>
      </c>
      <c r="K28" s="353">
        <f>'Segment Analysis'!K7</f>
        <v>17741</v>
      </c>
      <c r="L28" s="353">
        <f>'Segment Analysis'!L7</f>
        <v>20992</v>
      </c>
      <c r="M28" s="353">
        <f>'Segment Analysis'!M7</f>
        <v>17388</v>
      </c>
      <c r="N28" s="353">
        <f>'Segment Analysis'!N7</f>
        <v>16027</v>
      </c>
      <c r="O28" s="282">
        <f t="shared" ref="O28:O30" si="8">SUM(K28:N28)</f>
        <v>72148</v>
      </c>
      <c r="P28" s="353">
        <f>'Segment Analysis'!P7</f>
        <v>19675</v>
      </c>
      <c r="Q28" s="353">
        <f>'Segment Analysis'!Q7</f>
        <v>27302</v>
      </c>
      <c r="R28" s="353">
        <f>'Segment Analysis'!R7</f>
        <v>22309</v>
      </c>
      <c r="S28" s="353">
        <f>'Segment Analysis'!S7</f>
        <v>20311</v>
      </c>
      <c r="T28" s="282">
        <f t="shared" ref="T28:T30" si="9">SUM(P28:S28)</f>
        <v>89597</v>
      </c>
      <c r="U28" s="353">
        <f>'Segment Analysis'!U7</f>
        <v>24422</v>
      </c>
      <c r="V28" s="353">
        <f>'Segment Analysis'!V7</f>
        <v>27570</v>
      </c>
      <c r="W28" s="353">
        <f>'Segment Analysis'!W7</f>
        <v>22918</v>
      </c>
      <c r="X28" s="281">
        <f>'Segment Analysis'!X7</f>
        <v>21772.1</v>
      </c>
      <c r="Y28" s="282">
        <f t="shared" ref="Y28:Y30" si="10">SUM(U28:X28)</f>
        <v>96682.1</v>
      </c>
      <c r="Z28" s="281">
        <f>'Segment Analysis'!Z7</f>
        <v>25691.077999999998</v>
      </c>
      <c r="AA28" s="281">
        <f>'Segment Analysis'!AA7</f>
        <v>29287.82892</v>
      </c>
      <c r="AB28" s="281">
        <f>'Segment Analysis'!AB7</f>
        <v>25773.2894496</v>
      </c>
      <c r="AC28" s="281">
        <f>'Segment Analysis'!AC7</f>
        <v>24484.62497712</v>
      </c>
      <c r="AD28" s="282">
        <f t="shared" ref="AD28:AD30" si="11">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-11348</v>
      </c>
      <c r="G29" s="354">
        <v>-13689</v>
      </c>
      <c r="H29" s="354">
        <v>-11755</v>
      </c>
      <c r="I29" s="354">
        <f>-48401-SUM(F29:H29)</f>
        <v>-11609</v>
      </c>
      <c r="J29" s="355">
        <f>SUM(F29:I29)</f>
        <v>-48401</v>
      </c>
      <c r="K29" s="354">
        <v>-12160</v>
      </c>
      <c r="L29" s="354">
        <v>-14252</v>
      </c>
      <c r="M29" s="354">
        <v>-11748</v>
      </c>
      <c r="N29" s="354">
        <v>-11045</v>
      </c>
      <c r="O29" s="355">
        <f>SUM(K29:N29)</f>
        <v>-49205</v>
      </c>
      <c r="P29" s="354">
        <f>-13162</f>
        <v>-13162</v>
      </c>
      <c r="Q29" s="354">
        <f>-17998</f>
        <v>-17998</v>
      </c>
      <c r="R29" s="354">
        <f>-15009</f>
        <v>-15009</v>
      </c>
      <c r="S29" s="354">
        <v>-13845</v>
      </c>
      <c r="T29" s="355">
        <f>SUM(P29:S29)</f>
        <v>-60014</v>
      </c>
      <c r="U29" s="354">
        <f>-16292</f>
        <v>-16292</v>
      </c>
      <c r="V29" s="354">
        <f>-18258</f>
        <v>-18258</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 t="shared" ref="F30:I30" si="12">SUM(F28:F29)</f>
        <v>6012</v>
      </c>
      <c r="G30" s="353">
        <f>SUM(G28:G29)</f>
        <v>7199</v>
      </c>
      <c r="H30" s="353">
        <f>SUM(H28:H29)</f>
        <v>5660</v>
      </c>
      <c r="I30" s="353">
        <f>SUM(I28:I29)</f>
        <v>4037</v>
      </c>
      <c r="J30" s="282">
        <f>SUM(F30:I30)</f>
        <v>22908</v>
      </c>
      <c r="K30" s="353">
        <f t="shared" ref="K30:N30" si="13">SUM(K28:K29)</f>
        <v>5581</v>
      </c>
      <c r="L30" s="353">
        <f>SUM(L28:L29)</f>
        <v>6740</v>
      </c>
      <c r="M30" s="353">
        <f>SUM(M28:M29)</f>
        <v>5640</v>
      </c>
      <c r="N30" s="353">
        <f>SUM(N28:N29)</f>
        <v>4982</v>
      </c>
      <c r="O30" s="282">
        <f>SUM(K30:N30)</f>
        <v>22943</v>
      </c>
      <c r="P30" s="353">
        <f t="shared" ref="P30:S30" si="14">SUM(P28:P29)</f>
        <v>6513</v>
      </c>
      <c r="Q30" s="353">
        <f>SUM(Q28:Q29)</f>
        <v>9304</v>
      </c>
      <c r="R30" s="353">
        <f>SUM(R28:R29)</f>
        <v>7300</v>
      </c>
      <c r="S30" s="353">
        <f>SUM(S28:S29)</f>
        <v>6466</v>
      </c>
      <c r="T30" s="282">
        <f>SUM(P30:S30)</f>
        <v>29583</v>
      </c>
      <c r="U30" s="353">
        <f t="shared" ref="U30:W30" si="15">SUM(U28:U29)</f>
        <v>8130</v>
      </c>
      <c r="V30" s="353">
        <f>SUM(V28:V29)</f>
        <v>9312</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-4187</v>
      </c>
      <c r="G32" s="358">
        <v>-4691</v>
      </c>
      <c r="H32" s="358">
        <v>-4270</v>
      </c>
      <c r="I32" s="358">
        <f>-17413-SUM(F32:H32)</f>
        <v>-4265</v>
      </c>
      <c r="J32" s="162">
        <f t="shared" ref="J32:J36" si="16">SUM(F32:I32)</f>
        <v>-17413</v>
      </c>
      <c r="K32" s="358">
        <v>-3862</v>
      </c>
      <c r="L32" s="358">
        <v>-4048</v>
      </c>
      <c r="M32" s="358">
        <v>-3772</v>
      </c>
      <c r="N32" s="358">
        <v>-3685</v>
      </c>
      <c r="O32" s="162">
        <f t="shared" ref="O32:O36" si="17">SUM(K32:N32)</f>
        <v>-15367</v>
      </c>
      <c r="P32" s="358">
        <f>-4196</f>
        <v>-4196</v>
      </c>
      <c r="Q32" s="358">
        <f>-5020</f>
        <v>-5020</v>
      </c>
      <c r="R32" s="358">
        <f>-4770</f>
        <v>-4770</v>
      </c>
      <c r="S32" s="358">
        <v>-3307</v>
      </c>
      <c r="T32" s="162">
        <f t="shared" ref="T32:T36" si="18">SUM(P32:S32)</f>
        <v>-17293</v>
      </c>
      <c r="U32" s="358">
        <v>-4494</v>
      </c>
      <c r="V32" s="358">
        <f>-4693</f>
        <v>-4693</v>
      </c>
      <c r="W32" s="358">
        <v>-4373</v>
      </c>
      <c r="X32" s="359">
        <f t="shared" ref="X32:X33" si="19">X67*X$28</f>
        <v>-4789.862</v>
      </c>
      <c r="Y32" s="162">
        <f t="shared" ref="Y32:Y36" si="20">SUM(U32:X32)</f>
        <v>-18349.862</v>
      </c>
      <c r="Z32" s="359">
        <f t="shared" ref="Z32:AC32" si="21">Z67*Z$28</f>
        <v>-5780.49255</v>
      </c>
      <c r="AA32" s="359">
        <f>AA67*AA$28</f>
        <v>-6589.761507</v>
      </c>
      <c r="AB32" s="359">
        <f>AB67*AB$28</f>
        <v>-5670.123678912</v>
      </c>
      <c r="AC32" s="359">
        <f>AC67*AC$28</f>
        <v>-5386.6174949664</v>
      </c>
      <c r="AD32" s="162">
        <f t="shared" ref="AD32:AD36" si="22">SUM(Z32:AC32)</f>
        <v>-23426.995230878398</v>
      </c>
      <c r="AE32" s="162">
        <f t="shared" ref="AE32:AG32" si="23">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SUM(F33:I33)</f>
      </c>
      <c r="K33" s="358">
        <v>0</v>
      </c>
      <c r="L33" s="358">
        <v>0</v>
      </c>
      <c r="M33" s="358">
        <v>0</v>
      </c>
      <c r="N33" s="358">
        <v>0</v>
      </c>
      <c r="O33" s="162">
        <f>SUM(K33:N33)</f>
      </c>
      <c r="P33" s="358">
        <v>0</v>
      </c>
      <c r="Q33" s="358">
        <v>0</v>
      </c>
      <c r="R33" s="358">
        <v>0</v>
      </c>
      <c r="S33" s="358">
        <v>0</v>
      </c>
      <c r="T33" s="162">
        <f>SUM(P33:S33)</f>
      </c>
      <c r="U33" s="358">
        <v>0</v>
      </c>
      <c r="V33" s="358">
        <v>0</v>
      </c>
      <c r="W33" s="358">
        <v>0</v>
      </c>
      <c r="X33" s="359">
        <f>X68*X$28</f>
      </c>
      <c r="Y33" s="162">
        <f>SUM(U33:X33)</f>
      </c>
      <c r="Z33" s="359">
        <f t="shared" ref="Z33:AC33" si="24">Z68*Z$28</f>
        <v>0</v>
      </c>
      <c r="AA33" s="359">
        <f>AA68*AA$28</f>
      </c>
      <c r="AB33" s="359">
        <f>AB68*AB$28</f>
      </c>
      <c r="AC33" s="359">
        <f>AC68*AC$28</f>
      </c>
      <c r="AD33" s="162">
        <f>SUM(Z33:AC33)</f>
      </c>
      <c r="AE33" s="162">
        <f t="shared" ref="AE33:AG33" si="25">AE68*AE$28</f>
        <v>0</v>
      </c>
      <c r="AF33" s="162">
        <f>AF68*AF$28</f>
      </c>
      <c r="AG33" s="162">
        <f>AG68*AG$28</f>
      </c>
      <c r="AH33" s="16"/>
      <c r="AI33" s="16"/>
      <c r="AJ33" s="16"/>
      <c r="AK33" s="16"/>
    </row>
    <row r="34" ht="13.5" customHeight="1" spans="1:37" x14ac:dyDescent="0.25">
      <c r="A34" s="264"/>
      <c r="B34" s="16"/>
      <c r="C34" s="139" t="s">
        <v>273</v>
      </c>
      <c r="D34" s="16"/>
      <c r="E34" s="16"/>
      <c r="F34" s="358">
        <v>-360</v>
      </c>
      <c r="G34" s="358">
        <v>-345</v>
      </c>
      <c r="H34" s="358">
        <v>-433</v>
      </c>
      <c r="I34" s="358">
        <f>-1477-SUM(F34:H34)</f>
        <v>-339</v>
      </c>
      <c r="J34" s="162">
        <f>SUM(F34:I34)</f>
        <v>-1477</v>
      </c>
      <c r="K34" s="358">
        <v>-302</v>
      </c>
      <c r="L34" s="358">
        <v>-311</v>
      </c>
      <c r="M34" s="358">
        <v>-310</v>
      </c>
      <c r="N34" s="358">
        <v>-339</v>
      </c>
      <c r="O34" s="162">
        <f>SUM(K34:N34)</f>
        <v>-1262</v>
      </c>
      <c r="P34" s="358">
        <f>-326</f>
        <v>-326</v>
      </c>
      <c r="Q34" s="358">
        <f>-327</f>
        <v>-327</v>
      </c>
      <c r="R34" s="358">
        <f>-355</f>
        <v>-355</v>
      </c>
      <c r="S34" s="358">
        <v>-390</v>
      </c>
      <c r="T34" s="162">
        <f>SUM(P34:S34)</f>
        <v>-1398</v>
      </c>
      <c r="U34" s="358">
        <v>-391</v>
      </c>
      <c r="V34" s="358">
        <v>-409</v>
      </c>
      <c r="W34" s="358">
        <v>-425</v>
      </c>
      <c r="X34" s="359">
        <f>-X76</f>
        <v>-331.18750000000006</v>
      </c>
      <c r="Y34" s="162">
        <f>SUM(U34:X34)</f>
        <v>-1556.1875</v>
      </c>
      <c r="Z34" s="359">
        <f t="shared" ref="Z34:AC34" si="26">-Z76</f>
        <v>-331.86891850000006</v>
      </c>
      <c r="AA34" s="359">
        <f>-AA76</f>
        <v>-336.85146518625004</v>
      </c>
      <c r="AB34" s="359">
        <f>-AB76</f>
        <v>-342.23237867969067</v>
      </c>
      <c r="AC34" s="359">
        <f>-AC76</f>
        <v>-343.91086566405204</v>
      </c>
      <c r="AD34" s="162">
        <f>SUM(Z34:AC34)</f>
        <v>-1354.863628029993</v>
      </c>
      <c r="AE34" s="162">
        <f t="shared" ref="AE34:AG34" si="27">-AE76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11477</v>
      </c>
      <c r="G35" s="354">
        <v>14247</v>
      </c>
      <c r="H35" s="354">
        <v>11960</v>
      </c>
      <c r="I35" s="354">
        <v>11553</v>
      </c>
      <c r="J35" s="355">
        <f>SUM(F35:I35)</f>
      </c>
      <c r="K35" s="354">
        <v>14241</v>
      </c>
      <c r="L35" s="354">
        <v>14264</v>
      </c>
      <c r="M35" s="354">
        <v>11793</v>
      </c>
      <c r="N35" s="354">
        <v>10817</v>
      </c>
      <c r="O35" s="355">
        <f>SUM(K35:N35)</f>
      </c>
      <c r="P35" s="354">
        <v>13404</v>
      </c>
      <c r="Q35" s="354">
        <v>18897</v>
      </c>
      <c r="R35" s="354">
        <v>15734</v>
      </c>
      <c r="S35" s="354">
        <v>12868</v>
      </c>
      <c r="T35" s="355">
        <f>SUM(P35:S35)</f>
      </c>
      <c r="U35" s="354">
        <v>17105</v>
      </c>
      <c r="V35" s="354">
        <v>0</v>
      </c>
      <c r="W35" s="354">
        <v>0</v>
      </c>
      <c r="X35" s="356">
        <f>X69*X$28</f>
        <v>0</v>
      </c>
      <c r="Y35" s="355">
        <f>SUM(U35:X35)</f>
      </c>
      <c r="Z35" s="356">
        <f t="shared" ref="Z35:AC35" si="28">Z69*Z$28</f>
        <v>0</v>
      </c>
      <c r="AA35" s="356">
        <f>AA69*AA$28</f>
      </c>
      <c r="AB35" s="356">
        <f>AB69*AB$28</f>
      </c>
      <c r="AC35" s="356">
        <f>AC69*AC$28</f>
      </c>
      <c r="AD35" s="355">
        <f>SUM(Z35:AC35)</f>
      </c>
      <c r="AE35" s="355">
        <f t="shared" ref="AE35:AG35" si="29">AE69*AE$28</f>
        <v>0</v>
      </c>
      <c r="AF35" s="355">
        <f>AF69*AF$28</f>
      </c>
      <c r="AG35" s="355">
        <f>AG69*AG$28</f>
      </c>
      <c r="AH35" s="16"/>
      <c r="AI35" s="16"/>
      <c r="AJ35" s="16"/>
      <c r="AK35" s="16"/>
    </row>
    <row r="36" ht="13.5" customHeight="1" spans="1:37" x14ac:dyDescent="0.25">
      <c r="A36" s="264"/>
      <c r="B36" s="16"/>
      <c r="C36" s="139" t="s">
        <v>275</v>
      </c>
      <c r="D36" s="16"/>
      <c r="E36" s="16"/>
      <c r="F36" s="353">
        <f t="shared" ref="F36:I36" si="30">IF($C$34="Depreciation &amp; Amortization (incl. in SG&amp;A)",F30+SUM(F32:F33,F35),F30+SUM(F32:F35))</f>
        <v>1465</v>
      </c>
      <c r="G36" s="353">
        <f>IF($C$34="Depreciation &amp; Amortization (incl. in SG&amp;A)",G30+SUM(G32:G33,G35),G30+SUM(G32:G35))</f>
        <v>2163</v>
      </c>
      <c r="H36" s="353">
        <f>IF($C$34="Depreciation &amp; Amortization (incl. in SG&amp;A)",H30+SUM(H32:H33,H35),H30+SUM(H32:H35))</f>
        <v>957</v>
      </c>
      <c r="I36" s="353">
        <f>IF($C$34="Depreciation &amp; Amortization (incl. in SG&amp;A)",I30+SUM(I32:I33,I35),I30+SUM(I32:I35))</f>
        <v>-567</v>
      </c>
      <c r="J36" s="282">
        <f>SUM(F36:I36)</f>
        <v>4018</v>
      </c>
      <c r="K36" s="353">
        <f t="shared" ref="K36:N36" si="31">IF($C$34="Depreciation &amp; Amortization (incl. in SG&amp;A)",K30+SUM(K32:K33,K35),K30+SUM(K32:K35))</f>
        <v>1417</v>
      </c>
      <c r="L36" s="353">
        <f>IF($C$34="Depreciation &amp; Amortization (incl. in SG&amp;A)",L30+SUM(L32:L33,L35),L30+SUM(L32:L35))</f>
        <v>2381</v>
      </c>
      <c r="M36" s="353">
        <f>IF($C$34="Depreciation &amp; Amortization (incl. in SG&amp;A)",M30+SUM(M32:M33,M35),M30+SUM(M32:M35))</f>
        <v>1558</v>
      </c>
      <c r="N36" s="353">
        <f>IF($C$34="Depreciation &amp; Amortization (incl. in SG&amp;A)",N30+SUM(N32:N33,N35),N30+SUM(N32:N35))</f>
        <v>958</v>
      </c>
      <c r="O36" s="282">
        <f>SUM(K36:N36)</f>
        <v>6314</v>
      </c>
      <c r="P36" s="353">
        <f t="shared" ref="P36:S36" si="32">IF($C$34="Depreciation &amp; Amortization (incl. in SG&amp;A)",P30+SUM(P32:P33,P35),P30+SUM(P32:P35))</f>
        <v>1991</v>
      </c>
      <c r="Q36" s="353">
        <f>IF($C$34="Depreciation &amp; Amortization (incl. in SG&amp;A)",Q30+SUM(Q32:Q33,Q35),Q30+SUM(Q32:Q35))</f>
        <v>3957</v>
      </c>
      <c r="R36" s="353">
        <f>IF($C$34="Depreciation &amp; Amortization (incl. in SG&amp;A)",R30+SUM(R32:R33,R35),R30+SUM(R32:R35))</f>
        <v>2175</v>
      </c>
      <c r="S36" s="353">
        <f>IF($C$34="Depreciation &amp; Amortization (incl. in SG&amp;A)",S30+SUM(S32:S33,S35),S30+SUM(S32:S35))</f>
        <v>2769</v>
      </c>
      <c r="T36" s="282">
        <f>SUM(P36:S36)</f>
        <v>10892</v>
      </c>
      <c r="U36" s="353">
        <f t="shared" ref="U36:W36" si="33">IF($C$34="Depreciation &amp; Amortization (incl. in SG&amp;A)",U30+SUM(U32:U33,U35),U30+SUM(U32:U35))</f>
        <v>3245</v>
      </c>
      <c r="V36" s="353">
        <f>IF($C$34="Depreciation &amp; Amortization (incl. in SG&amp;A)",V30+SUM(V32:V33,V35),V30+SUM(V32:V35))</f>
        <v>4210</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SUM(F38:I38)</f>
        <v>0</v>
      </c>
      <c r="K38" s="358">
        <v>0</v>
      </c>
      <c r="L38" s="358">
        <v>0</v>
      </c>
      <c r="M38" s="358">
        <v>0</v>
      </c>
      <c r="N38" s="358">
        <v>0</v>
      </c>
      <c r="O38" s="162">
        <f t="shared" ref="O38:O42" si="35">SUM(K38:N38)</f>
        <v>0</v>
      </c>
      <c r="P38" s="358">
        <v>0</v>
      </c>
      <c r="Q38" s="358">
        <v>0</v>
      </c>
      <c r="R38" s="358">
        <v>0</v>
      </c>
      <c r="S38" s="358">
        <v>0</v>
      </c>
      <c r="T38" s="162">
        <f t="shared" ref="T38:T42" si="36">SUM(P38:S38)</f>
        <v>0</v>
      </c>
      <c r="U38" s="358">
        <v>0</v>
      </c>
      <c r="V38" s="358">
        <v>0</v>
      </c>
      <c r="W38" s="358">
        <v>0</v>
      </c>
      <c r="X38" s="359">
        <f>X329</f>
      </c>
      <c r="Y38" s="162">
        <f>SUM(U38:X38)</f>
      </c>
      <c r="Z38" s="359">
        <f>Z329</f>
      </c>
      <c r="AA38" s="359">
        <f>AA329</f>
      </c>
      <c r="AB38" s="359">
        <f>AB329</f>
      </c>
      <c r="AC38" s="359">
        <f>AC329</f>
      </c>
      <c r="AD38" s="162">
        <f>SUM(Z38:AC38)</f>
      </c>
      <c r="AE38" s="162">
        <f>AE329</f>
      </c>
      <c r="AF38" s="162">
        <f>AF329</f>
      </c>
      <c r="AG38" s="162">
        <f>AG329</f>
      </c>
      <c r="AH38" s="16"/>
      <c r="AI38" s="16"/>
      <c r="AJ38" s="16"/>
      <c r="AK38" s="16"/>
    </row>
    <row r="39" ht="13.5" customHeight="1" spans="1:37" x14ac:dyDescent="0.25">
      <c r="A39" s="264"/>
      <c r="B39" s="16"/>
      <c r="C39" s="139" t="s">
        <v>277</v>
      </c>
      <c r="D39" s="16"/>
      <c r="E39" s="16"/>
      <c r="F39" s="358">
        <v>-221</v>
      </c>
      <c r="G39" s="358">
        <v>-226</v>
      </c>
      <c r="H39" s="358">
        <v>-227</v>
      </c>
      <c r="I39" s="358">
        <f>-624-SUM(F39:H39)</f>
        <v>-159</v>
      </c>
      <c r="J39" s="162">
        <f>SUM(F39:I39)</f>
        <v>-624</v>
      </c>
      <c r="K39" s="358">
        <v>-218</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c>
      <c r="Y39" s="162">
        <f>SUM(U39:X39)</f>
      </c>
      <c r="Z39" s="359">
        <f>Z322</f>
      </c>
      <c r="AA39" s="359">
        <f>AA322</f>
      </c>
      <c r="AB39" s="359">
        <f>AB322</f>
      </c>
      <c r="AC39" s="359">
        <f>AC322</f>
      </c>
      <c r="AD39" s="162">
        <f>SUM(Z39:AC39)</f>
      </c>
      <c r="AE39" s="162">
        <f>AE322</f>
      </c>
      <c r="AF39" s="162">
        <f>AF322</f>
      </c>
      <c r="AG39" s="162">
        <f>AG322</f>
      </c>
      <c r="AH39" s="16"/>
      <c r="AI39" s="16"/>
      <c r="AJ39" s="16"/>
      <c r="AK39" s="16"/>
    </row>
    <row r="40" ht="13.5" customHeight="1" spans="1:37" x14ac:dyDescent="0.25">
      <c r="A40" s="264"/>
      <c r="B40" s="16"/>
      <c r="C40" s="139" t="s">
        <v>278</v>
      </c>
      <c r="D40" s="16"/>
      <c r="E40" s="16"/>
      <c r="F40" s="358">
        <v>0</v>
      </c>
      <c r="G40" s="358">
        <v>0</v>
      </c>
      <c r="H40" s="358">
        <v>0</v>
      </c>
      <c r="I40" s="358">
        <v>0</v>
      </c>
      <c r="J40" s="162">
        <f>SUM(F40:I40)</f>
      </c>
      <c r="K40" s="358">
        <v>0</v>
      </c>
      <c r="L40" s="358">
        <v>0</v>
      </c>
      <c r="M40" s="358">
        <v>0</v>
      </c>
      <c r="N40" s="358">
        <v>0</v>
      </c>
      <c r="O40" s="162">
        <f>SUM(K40:N40)</f>
      </c>
      <c r="P40" s="358">
        <v>0</v>
      </c>
      <c r="Q40" s="358">
        <v>0</v>
      </c>
      <c r="R40" s="358">
        <v>0</v>
      </c>
      <c r="S40" s="358">
        <v>0</v>
      </c>
      <c r="T40" s="162">
        <f>SUM(P40:S40)</f>
      </c>
      <c r="U40" s="358">
        <v>0</v>
      </c>
      <c r="V40" s="358">
        <v>0</v>
      </c>
      <c r="W40" s="358">
        <v>0</v>
      </c>
      <c r="X40" s="361">
        <f>Drivers!X62</f>
        <v>0</v>
      </c>
      <c r="Y40" s="162">
        <f>SUM(U40:X40)</f>
      </c>
      <c r="Z40" s="361">
        <f>Drivers!Z62</f>
        <v>0</v>
      </c>
      <c r="AA40" s="361">
        <f>Drivers!AA62</f>
        <v>0</v>
      </c>
      <c r="AB40" s="361">
        <f>Drivers!AB62</f>
        <v>0</v>
      </c>
      <c r="AC40" s="361">
        <f>Drivers!AC62</f>
        <v>0</v>
      </c>
      <c r="AD40" s="162">
        <f>SUM(Z40:AC40)</f>
      </c>
      <c r="AE40" s="362">
        <f>Drivers!AE62</f>
        <v>0</v>
      </c>
      <c r="AF40" s="362">
        <f>Drivers!AF62</f>
        <v>0</v>
      </c>
      <c r="AG40" s="362">
        <f>Drivers!AG62</f>
        <v>0</v>
      </c>
      <c r="AH40" s="16"/>
      <c r="AI40" s="16"/>
      <c r="AJ40" s="16"/>
      <c r="AK40" s="16"/>
    </row>
    <row r="41" ht="13.5" customHeight="1" spans="1:37" x14ac:dyDescent="0.25">
      <c r="A41" s="264"/>
      <c r="B41" s="16"/>
      <c r="C41" s="139" t="s">
        <v>279</v>
      </c>
      <c r="D41" s="16"/>
      <c r="E41" s="16"/>
      <c r="F41" s="354">
        <v>-2</v>
      </c>
      <c r="G41" s="354">
        <v>6</v>
      </c>
      <c r="H41" s="354">
        <v>4</v>
      </c>
      <c r="I41" s="354">
        <v>11</v>
      </c>
      <c r="J41" s="355">
        <f>SUM(F41:I41)</f>
      </c>
      <c r="K41" s="354">
        <v>25</v>
      </c>
      <c r="L41" s="354">
        <v>29</v>
      </c>
      <c r="M41" s="354">
        <v>35</v>
      </c>
      <c r="N41" s="354">
        <v>37</v>
      </c>
      <c r="O41" s="355">
        <f>SUM(K41:N41)</f>
      </c>
      <c r="P41" s="354">
        <v>26</v>
      </c>
      <c r="Q41" s="354">
        <v>25</v>
      </c>
      <c r="R41" s="354">
        <v>29</v>
      </c>
      <c r="S41" s="354">
        <f>-1200-45</f>
        <v>-1245</v>
      </c>
      <c r="T41" s="355">
        <f>SUM(P41:S41)</f>
        <v>-2305</v>
      </c>
      <c r="U41" s="354">
        <v>41</v>
      </c>
      <c r="V41" s="354">
        <v>0</v>
      </c>
      <c r="W41" s="354">
        <v>0</v>
      </c>
      <c r="X41" s="356">
        <f>X70*X28</f>
        <v>0</v>
      </c>
      <c r="Y41" s="355">
        <f>SUM(U41:X41)</f>
      </c>
      <c r="Z41" s="356">
        <f t="shared" ref="Z41:AC41" si="37">Z70*Z28</f>
        <v>0</v>
      </c>
      <c r="AA41" s="356">
        <f>AA70*AA28</f>
      </c>
      <c r="AB41" s="356">
        <f>AB70*AB28</f>
      </c>
      <c r="AC41" s="356">
        <f>AC70*AC28</f>
      </c>
      <c r="AD41" s="355">
        <f>SUM(Z41:AC41)</f>
      </c>
      <c r="AE41" s="355">
        <f t="shared" ref="AE41:AG41" si="38">AE70*AE28</f>
        <v>0</v>
      </c>
      <c r="AF41" s="355">
        <f>AF70*AF28</f>
      </c>
      <c r="AG41" s="355">
        <f>AG70*AG28</f>
      </c>
      <c r="AH41" s="16"/>
      <c r="AI41" s="16"/>
      <c r="AJ41" s="16"/>
      <c r="AK41" s="16"/>
    </row>
    <row r="42" ht="13.5" customHeight="1" spans="1:37" x14ac:dyDescent="0.25">
      <c r="A42" s="264"/>
      <c r="B42" s="16"/>
      <c r="C42" s="139" t="s">
        <v>280</v>
      </c>
      <c r="D42" s="16"/>
      <c r="E42" s="16"/>
      <c r="F42" s="353">
        <f t="shared" ref="F42:I42" si="39">F36+SUM(F38:F41)</f>
        <v>1305</v>
      </c>
      <c r="G42" s="353">
        <f>G36+SUM(G38:G41)</f>
        <v>2011</v>
      </c>
      <c r="H42" s="353">
        <f>H36+SUM(H38:H41)</f>
        <v>804</v>
      </c>
      <c r="I42" s="353">
        <f>I36+SUM(I38:I41)</f>
        <v>-726</v>
      </c>
      <c r="J42" s="282">
        <f>SUM(F42:I42)</f>
        <v>3394</v>
      </c>
      <c r="K42" s="353">
        <f t="shared" ref="K42:N42" si="40">K36+SUM(K38:K41)</f>
        <v>1255</v>
      </c>
      <c r="L42" s="353">
        <f>L36+SUM(L38:L41)</f>
        <v>2212</v>
      </c>
      <c r="M42" s="353">
        <f>M36+SUM(M38:M41)</f>
        <v>1381</v>
      </c>
      <c r="N42" s="353">
        <f>N36+SUM(N38:N41)</f>
        <v>775</v>
      </c>
      <c r="O42" s="282">
        <f>SUM(K42:N42)</f>
        <v>5623</v>
      </c>
      <c r="P42" s="353">
        <f t="shared" ref="P42:Q42" si="41">P36+SUM(P38:P41)</f>
        <v>1786</v>
      </c>
      <c r="Q42" s="353">
        <f>Q36+SUM(Q38:Q41)</f>
        <v>3738</v>
      </c>
      <c r="R42" s="353">
        <f t="shared" ref="R42:S42" si="42">IF($C$8="On",R36+SUM(R38:R41),IF($C$8="off",R36+SUM(R40:R41),"N/A"))</f>
        <v>894</v>
      </c>
      <c r="S42" s="353">
        <f>IF($C$8="On",S36+SUM(S38:S41),IF($C$8="off",S36+SUM(S40:S41),"N/A"))</f>
        <v>1320</v>
      </c>
      <c r="T42" s="282">
        <f>SUM(P42:S42)</f>
        <v>7738</v>
      </c>
      <c r="U42" s="353">
        <f t="shared" ref="U42:V42" si="43">U36+SUM(U38:U41)</f>
        <v>3034</v>
      </c>
      <c r="V42" s="353">
        <f>V36+SUM(V38:V41)</f>
        <v>3994</v>
      </c>
      <c r="W42" s="353">
        <f t="shared" ref="W42:X42" si="44">IF($C$8="On",W36+SUM(W38:W41),IF($C$8="off",W36+SUM(W40:W41),"N/A"))</f>
        <v>2566</v>
      </c>
      <c r="X42" s="281">
        <f>IF($C$8="On",X36+SUM(X38:X41),IF($C$8="off",X36+SUM(X40:X41),"N/A"))</f>
      </c>
      <c r="Y42" s="282">
        <f>SUM(U42:X42)</f>
      </c>
      <c r="Z42" s="281">
        <f>IF($C$8="On",Z36+SUM(Z38:Z41),IF($C$8="off",Z36+SUM(Z40:Z41),"N/A"))</f>
      </c>
      <c r="AA42" s="281">
        <f>IF($C$8="On",AA36+SUM(AA38:AA41),IF($C$8="off",AA36+SUM(AA40:AA41),"N/A"))</f>
      </c>
      <c r="AB42" s="281">
        <f>IF($C$8="On",AB36+SUM(AB38:AB41),IF($C$8="off",AB36+SUM(AB40:AB41),"N/A"))</f>
      </c>
      <c r="AC42" s="281">
        <f>IF($C$8="On",AC36+SUM(AC38:AC41),IF($C$8="off",AC36+SUM(AC40:AC41),"N/A"))</f>
      </c>
      <c r="AD42" s="282">
        <f>SUM(Z42:AC42)</f>
      </c>
      <c r="AE42" s="282">
        <f>IF($C$8="On",AE36+SUM(AE38:AE41),IF($C$8="off",AE36+SUM(AE40:AE41),"N/A"))</f>
      </c>
      <c r="AF42" s="282">
        <f>IF($C$8="On",AF36+SUM(AF38:AF41),IF($C$8="off",AF36+SUM(AF40:AF41),"N/A"))</f>
      </c>
      <c r="AG42" s="282">
        <f>IF($C$8="On",AG36+SUM(AG38:AG41),IF($C$8="off",AG36+SUM(AG40:AG41),"N/A"))</f>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-84</v>
      </c>
      <c r="G44" s="354">
        <v>-91</v>
      </c>
      <c r="H44" s="354">
        <v>-79</v>
      </c>
      <c r="I44" s="354">
        <v>-131</v>
      </c>
      <c r="J44" s="355">
        <f t="shared" ref="J44:J45" si="45">SUM(F44:I44)</f>
        <v>-1080</v>
      </c>
      <c r="K44" s="354">
        <v>-750</v>
      </c>
      <c r="L44" s="354">
        <v>-110</v>
      </c>
      <c r="M44" s="354">
        <v>-241</v>
      </c>
      <c r="N44" s="354">
        <v>-83</v>
      </c>
      <c r="O44" s="355">
        <f t="shared" ref="O44:O45" si="46">SUM(K44:N44)</f>
        <v>-1342</v>
      </c>
      <c r="P44" s="354">
        <v>-143</v>
      </c>
      <c r="Q44" s="354">
        <v>-120</v>
      </c>
      <c r="R44" s="354">
        <v>-133</v>
      </c>
      <c r="S44" s="354">
        <v>-37</v>
      </c>
      <c r="T44" s="355">
        <f t="shared" ref="T44:T45" si="47">SUM(P44:S44)</f>
        <v>-1903</v>
      </c>
      <c r="U44" s="354">
        <v>-226</v>
      </c>
      <c r="V44" s="354">
        <f>-976</f>
        <v>-976</v>
      </c>
      <c r="W44" s="354">
        <v>-670</v>
      </c>
      <c r="X44" s="356">
        <f>-X71*X42</f>
      </c>
      <c r="Y44" s="355">
        <f>SUM(U44:X44)</f>
      </c>
      <c r="Z44" s="356">
        <f>-Z71*Z42</f>
      </c>
      <c r="AA44" s="356">
        <f>-AA71*AA42</f>
      </c>
      <c r="AB44" s="356">
        <f>-AB71*AB42</f>
      </c>
      <c r="AC44" s="356">
        <f>-AC71*AC42</f>
      </c>
      <c r="AD44" s="355">
        <f>SUM(Z44:AC44)</f>
      </c>
      <c r="AE44" s="355">
        <f>-AE71*AE42</f>
      </c>
      <c r="AF44" s="355">
        <f>-AF71*AF42</f>
      </c>
      <c r="AG44" s="355">
        <f>-AG71*AG42</f>
      </c>
      <c r="AH44" s="16"/>
      <c r="AI44" s="16"/>
      <c r="AJ44" s="16"/>
      <c r="AK44" s="16"/>
    </row>
    <row r="45" ht="13.5" customHeight="1" spans="1:37" x14ac:dyDescent="0.25">
      <c r="A45" s="264"/>
      <c r="B45" s="16"/>
      <c r="C45" s="139" t="s">
        <v>282</v>
      </c>
      <c r="D45" s="16"/>
      <c r="E45" s="16"/>
      <c r="F45" s="353">
        <f t="shared" ref="F45:I45" si="48">F42+F44</f>
        <v>988</v>
      </c>
      <c r="G45" s="353">
        <f>G42+G44</f>
        <v>1521</v>
      </c>
      <c r="H45" s="353">
        <f>H42+H44</f>
        <v>629</v>
      </c>
      <c r="I45" s="353">
        <f>I42+I44</f>
        <v>-824</v>
      </c>
      <c r="J45" s="282">
        <f>SUM(F45:I45)</f>
        <v>2314</v>
      </c>
      <c r="K45" s="353">
        <f t="shared" ref="K45:N45" si="49">K42+K44</f>
        <v>1046</v>
      </c>
      <c r="L45" s="353">
        <f>L42+L44</f>
        <v>1676</v>
      </c>
      <c r="M45" s="353">
        <f>M42+M44</f>
        <v>1049</v>
      </c>
      <c r="N45" s="353">
        <f>N42+N44</f>
        <v>510</v>
      </c>
      <c r="O45" s="282">
        <f>SUM(K45:N45)</f>
        <v>4281</v>
      </c>
      <c r="P45" s="353">
        <f t="shared" ref="P45:S45" si="50">P42+P44</f>
        <v>1337</v>
      </c>
      <c r="Q45" s="353">
        <f>Q42+Q44</f>
        <v>2828</v>
      </c>
      <c r="R45" s="353">
        <f>R42+R44</f>
        <v>692</v>
      </c>
      <c r="S45" s="353">
        <f>S42+S44</f>
        <v>978</v>
      </c>
      <c r="T45" s="282">
        <f>SUM(P45:S45)</f>
        <v>5835</v>
      </c>
      <c r="U45" s="353">
        <f t="shared" ref="U45:X45" si="51">U42+U44</f>
        <v>2321</v>
      </c>
      <c r="V45" s="353">
        <f>V42+V44</f>
        <v>3018</v>
      </c>
      <c r="W45" s="353">
        <f>W42+W44</f>
        <v>1896</v>
      </c>
      <c r="X45" s="281">
        <f>X42+X44</f>
      </c>
      <c r="Y45" s="282">
        <f>SUM(U45:X45)</f>
      </c>
      <c r="Z45" s="281">
        <f>Z42+Z44</f>
      </c>
      <c r="AA45" s="281">
        <f>AA42+AA44</f>
      </c>
      <c r="AB45" s="281">
        <f>AB42+AB44</f>
      </c>
      <c r="AC45" s="281">
        <f>AC42+AC44</f>
      </c>
      <c r="AD45" s="282">
        <f>SUM(Z45:AC45)</f>
      </c>
      <c r="AE45" s="282">
        <f>AE42+AE44</f>
      </c>
      <c r="AF45" s="282">
        <f>AF42+AF44</f>
      </c>
      <c r="AG45" s="282">
        <f>AG42+AG44</f>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SUM(F47:I47)</f>
        <v>0</v>
      </c>
      <c r="K47" s="358">
        <v>0</v>
      </c>
      <c r="L47" s="358">
        <v>0</v>
      </c>
      <c r="M47" s="358">
        <v>0</v>
      </c>
      <c r="N47" s="358">
        <v>0</v>
      </c>
      <c r="O47" s="162">
        <f t="shared" ref="O47:O51" si="53">SUM(K47:N47)</f>
        <v>0</v>
      </c>
      <c r="P47" s="358">
        <v>0</v>
      </c>
      <c r="Q47" s="358">
        <v>0</v>
      </c>
      <c r="R47" s="358">
        <v>0</v>
      </c>
      <c r="S47" s="358">
        <v>0</v>
      </c>
      <c r="T47" s="162">
        <f t="shared" ref="T47:T51" si="54">SUM(P47:S47)</f>
        <v>0</v>
      </c>
      <c r="U47" s="358">
        <v>0</v>
      </c>
      <c r="V47" s="358">
        <v>0</v>
      </c>
      <c r="W47" s="358">
        <v>0</v>
      </c>
      <c r="X47" s="365">
        <v>0</v>
      </c>
      <c r="Y47" s="162">
        <f t="shared" ref="Y47:Y51" si="55">SUM(U47:X47)</f>
        <v>0</v>
      </c>
      <c r="Z47" s="365">
        <v>0</v>
      </c>
      <c r="AA47" s="365">
        <v>0</v>
      </c>
      <c r="AB47" s="365">
        <v>0</v>
      </c>
      <c r="AC47" s="365">
        <v>0</v>
      </c>
      <c r="AD47" s="162">
        <f t="shared" ref="AD47:AD51" si="56">SUM(Z47:AC47)</f>
        <v>0</v>
      </c>
      <c r="AE47" s="366">
        <v>0</v>
      </c>
      <c r="AF47" s="366">
        <v>0</v>
      </c>
      <c r="AG47" s="366">
        <v>0</v>
      </c>
      <c r="AH47" s="16"/>
      <c r="AI47" s="16"/>
      <c r="AJ47" s="16"/>
      <c r="AK47" s="16"/>
    </row>
    <row r="48" ht="13.5" customHeight="1" spans="1:37" x14ac:dyDescent="0.25">
      <c r="A48" s="264"/>
      <c r="B48" s="16"/>
      <c r="C48" s="139" t="s">
        <v>284</v>
      </c>
      <c r="D48" s="16"/>
      <c r="E48" s="16"/>
      <c r="F48" s="358">
        <v>0</v>
      </c>
      <c r="G48" s="358">
        <v>170.94</v>
      </c>
      <c r="H48" s="358">
        <f>0.26*H284</f>
        <v>209.82</v>
      </c>
      <c r="I48" s="358">
        <v>1465.8300000000002</v>
      </c>
      <c r="J48" s="162">
        <f>SUM(F48:I48)</f>
        <v>1846.5900000000001</v>
      </c>
      <c r="K48" s="358">
        <v>-71.73</v>
      </c>
      <c r="L48" s="358">
        <v>7.8100000000000005</v>
      </c>
      <c r="M48" s="358">
        <v>38.5</v>
      </c>
      <c r="N48" s="358">
        <v>213.92000000000002</v>
      </c>
      <c r="O48" s="162">
        <f>SUM(K48:N48)</f>
        <v>188.5</v>
      </c>
      <c r="P48" s="358">
        <v>7.5600000000000005</v>
      </c>
      <c r="Q48" s="358">
        <v>7.53</v>
      </c>
      <c r="R48" s="358">
        <v>806.7800000000001</v>
      </c>
      <c r="S48" s="358">
        <v>0</v>
      </c>
      <c r="T48" s="162">
        <f>SUM(P48:S48)</f>
        <v>821.8700000000001</v>
      </c>
      <c r="U48" s="358">
        <v>0</v>
      </c>
      <c r="V48" s="358">
        <v>0</v>
      </c>
      <c r="W48" s="358">
        <v>0</v>
      </c>
      <c r="X48" s="365">
        <v>0</v>
      </c>
      <c r="Y48" s="162">
        <f>SUM(U48:X48)</f>
      </c>
      <c r="Z48" s="365">
        <v>0</v>
      </c>
      <c r="AA48" s="365">
        <v>0</v>
      </c>
      <c r="AB48" s="365">
        <v>0</v>
      </c>
      <c r="AC48" s="365">
        <v>0</v>
      </c>
      <c r="AD48" s="162">
        <f>SUM(Z48:AC48)</f>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c>
      <c r="K49" s="358">
        <v>0</v>
      </c>
      <c r="L49" s="358">
        <v>0</v>
      </c>
      <c r="M49" s="358">
        <v>0</v>
      </c>
      <c r="N49" s="358">
        <v>0</v>
      </c>
      <c r="O49" s="162">
        <f>SUM(K49:N49)</f>
      </c>
      <c r="P49" s="358">
        <v>0</v>
      </c>
      <c r="Q49" s="358">
        <v>0</v>
      </c>
      <c r="R49" s="358">
        <v>0</v>
      </c>
      <c r="S49" s="358">
        <v>0</v>
      </c>
      <c r="T49" s="162">
        <f>SUM(P49:S49)</f>
      </c>
      <c r="U49" s="358">
        <v>0</v>
      </c>
      <c r="V49" s="358">
        <v>0</v>
      </c>
      <c r="W49" s="358">
        <v>0</v>
      </c>
      <c r="X49" s="365">
        <v>0</v>
      </c>
      <c r="Y49" s="162">
        <f>SUM(U49:X49)</f>
      </c>
      <c r="Z49" s="365">
        <v>0</v>
      </c>
      <c r="AA49" s="365">
        <v>0</v>
      </c>
      <c r="AB49" s="365">
        <v>0</v>
      </c>
      <c r="AC49" s="365">
        <v>0</v>
      </c>
      <c r="AD49" s="162">
        <f>SUM(Z49:AC49)</f>
      </c>
      <c r="AE49" s="366">
        <v>0</v>
      </c>
      <c r="AF49" s="366">
        <v>0</v>
      </c>
      <c r="AG49" s="366">
        <v>0</v>
      </c>
      <c r="AH49" s="16"/>
      <c r="AI49" s="16"/>
      <c r="AJ49" s="16"/>
      <c r="AK49" s="16"/>
    </row>
    <row r="50" ht="13.5" customHeight="1" spans="1:37" x14ac:dyDescent="0.25">
      <c r="A50" s="264"/>
      <c r="B50" s="16"/>
      <c r="C50" s="139" t="s">
        <v>286</v>
      </c>
      <c r="D50" s="16"/>
      <c r="E50" s="16"/>
      <c r="F50" s="354">
        <v>-153</v>
      </c>
      <c r="G50" s="367">
        <v>-170</v>
      </c>
      <c r="H50" s="354">
        <v>-165</v>
      </c>
      <c r="I50" s="354">
        <v>-212</v>
      </c>
      <c r="J50" s="355">
        <f>SUM(F50:I50)</f>
      </c>
      <c r="K50" s="354">
        <v>0</v>
      </c>
      <c r="L50" s="354">
        <v>0</v>
      </c>
      <c r="M50" s="354">
        <v>0</v>
      </c>
      <c r="N50" s="354">
        <v>0</v>
      </c>
      <c r="O50" s="355">
        <f>SUM(K50:N50)</f>
      </c>
      <c r="P50" s="354">
        <v>-216</v>
      </c>
      <c r="Q50" s="354">
        <v>-234</v>
      </c>
      <c r="R50" s="354">
        <v>-237</v>
      </c>
      <c r="S50" s="354">
        <v>-273</v>
      </c>
      <c r="T50" s="355">
        <f>SUM(P50:S50)</f>
      </c>
      <c r="U50" s="354">
        <v>0</v>
      </c>
      <c r="V50" s="354">
        <v>0</v>
      </c>
      <c r="W50" s="354">
        <v>-7</v>
      </c>
      <c r="X50" s="368">
        <v>0</v>
      </c>
      <c r="Y50" s="355">
        <f>SUM(U50:X50)</f>
        <v>-7</v>
      </c>
      <c r="Z50" s="368">
        <v>0</v>
      </c>
      <c r="AA50" s="368">
        <v>0</v>
      </c>
      <c r="AB50" s="368">
        <v>0</v>
      </c>
      <c r="AC50" s="368">
        <v>0</v>
      </c>
      <c r="AD50" s="355">
        <f>SUM(Z50:AC50)</f>
      </c>
      <c r="AE50" s="369">
        <v>0</v>
      </c>
      <c r="AF50" s="369">
        <v>0</v>
      </c>
      <c r="AG50" s="369">
        <v>0</v>
      </c>
      <c r="AH50" s="16"/>
      <c r="AI50" s="16"/>
      <c r="AJ50" s="16"/>
      <c r="AK50" s="16"/>
    </row>
    <row r="51" ht="13.5" customHeight="1" spans="1:37" x14ac:dyDescent="0.25">
      <c r="A51" s="264"/>
      <c r="B51" s="16"/>
      <c r="C51" s="139" t="s">
        <v>287</v>
      </c>
      <c r="D51" s="16"/>
      <c r="E51" s="16"/>
      <c r="F51" s="353">
        <f t="shared" ref="F51:I51" si="57">SUM(F45:F50)</f>
        <v>988</v>
      </c>
      <c r="G51" s="353">
        <f>SUM(G45:G50)</f>
        <v>1691.94</v>
      </c>
      <c r="H51" s="353">
        <f>SUM(H45:H50)</f>
        <v>838.8199999999999</v>
      </c>
      <c r="I51" s="353">
        <f>SUM(I45:I50)</f>
        <v>641.8300000000002</v>
      </c>
      <c r="J51" s="282">
        <f>SUM(F51:I51)</f>
        <v>4160.59</v>
      </c>
      <c r="K51" s="353">
        <f t="shared" ref="K51:N51" si="58">SUM(K45:K50)</f>
        <v>974.27</v>
      </c>
      <c r="L51" s="353">
        <f>SUM(L45:L50)</f>
        <v>1683.81</v>
      </c>
      <c r="M51" s="353">
        <f>SUM(M45:M50)</f>
        <v>1087.5</v>
      </c>
      <c r="N51" s="353">
        <f>SUM(N45:N50)</f>
        <v>723.9200000000001</v>
      </c>
      <c r="O51" s="282">
        <f>SUM(K51:N51)</f>
        <v>4469.5</v>
      </c>
      <c r="P51" s="353">
        <f t="shared" ref="P51:S51" si="59">SUM(P45:P50)</f>
        <v>1344.56</v>
      </c>
      <c r="Q51" s="353">
        <f>SUM(Q45:Q50)</f>
        <v>2835.53</v>
      </c>
      <c r="R51" s="353">
        <f>SUM(R45:R50)</f>
        <v>1498.7800000000002</v>
      </c>
      <c r="S51" s="353">
        <f>SUM(S45:S50)</f>
        <v>978</v>
      </c>
      <c r="T51" s="282">
        <f>SUM(P51:S51)</f>
        <v>6656.870000000001</v>
      </c>
      <c r="U51" s="353">
        <f t="shared" ref="U51:X51" si="60">SUM(U45:U50)</f>
        <v>2321</v>
      </c>
      <c r="V51" s="353">
        <f>SUM(V45:V50)</f>
        <v>3018</v>
      </c>
      <c r="W51" s="353">
        <f>SUM(W45:W50)</f>
        <v>1889</v>
      </c>
      <c r="X51" s="281">
        <f>SUM(X45:X50)</f>
      </c>
      <c r="Y51" s="282">
        <f>SUM(U51:X51)</f>
      </c>
      <c r="Z51" s="281">
        <f>SUM(Z45:Z50)</f>
      </c>
      <c r="AA51" s="281">
        <f>SUM(AA45:AA50)</f>
      </c>
      <c r="AB51" s="281">
        <f>SUM(AB45:AB50)</f>
      </c>
      <c r="AC51" s="281">
        <f>SUM(AC45:AC50)</f>
      </c>
      <c r="AD51" s="282">
        <f>SUM(Z51:AC51)</f>
      </c>
      <c r="AE51" s="282">
        <f>SUM(AE45:AE50)</f>
      </c>
      <c r="AF51" s="282">
        <f>SUM(AF45:AF50)</f>
      </c>
      <c r="AG51" s="282">
        <f>SUM(AG45:AG50)</f>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(F45)/F282</f>
        <v>1.1975757575757575</v>
      </c>
      <c r="G53" s="370">
        <f>(G45)/G282</f>
        <v>1.8708487084870848</v>
      </c>
      <c r="H53" s="370">
        <f>(H45)/H282</f>
        <v>0.7803970223325062</v>
      </c>
      <c r="I53" s="370">
        <f>(I45)/I282</f>
        <v>-1.0287141073657928</v>
      </c>
      <c r="J53" s="127">
        <f>J45/J282</f>
        <v>2.888888888888889</v>
      </c>
      <c r="K53" s="370">
        <f t="shared" ref="K53:N53" si="62">(K45)/K282</f>
        <v>1.2678787878787878</v>
      </c>
      <c r="L53" s="370">
        <f>(L45)/L282</f>
        <v>2.06150061500615</v>
      </c>
      <c r="M53" s="370">
        <f>(M45)/M282</f>
        <v>1.3014888337468982</v>
      </c>
      <c r="N53" s="370">
        <f>(N45)/N282</f>
        <v>0.6367041198501873</v>
      </c>
      <c r="O53" s="127">
        <f>O45/O282</f>
        <v>5.344569288389513</v>
      </c>
      <c r="P53" s="370">
        <f t="shared" ref="P53:S53" si="63">(P45)/P282</f>
        <v>1.770860927152318</v>
      </c>
      <c r="Q53" s="370">
        <f>(Q45)/Q282</f>
        <v>3.7606382978723403</v>
      </c>
      <c r="R53" s="370">
        <f>(R45)/R282</f>
        <v>0.9202127659574468</v>
      </c>
      <c r="S53" s="370">
        <f>(S45)/S282</f>
        <v>1.3074866310160427</v>
      </c>
      <c r="T53" s="127">
        <f>T45/T282</f>
        <v>7.800802139037433</v>
      </c>
      <c r="U53" s="370">
        <f t="shared" ref="U53:W53" si="64">(U45)/U282</f>
        <v>3.232590529247911</v>
      </c>
      <c r="V53" s="370">
        <f>(V45)/V282</f>
        <v>4.280851063829787</v>
      </c>
      <c r="W53" s="370">
        <f>(W45)/W282</f>
        <v>2.747826086956522</v>
      </c>
      <c r="X53" s="371">
        <f>X45/X282</f>
      </c>
      <c r="Y53" s="127">
        <f>Y45/Y282</f>
      </c>
      <c r="Z53" s="371">
        <f>Z45/Z282</f>
      </c>
      <c r="AA53" s="371">
        <f>AA45/AA282</f>
      </c>
      <c r="AB53" s="371">
        <f>AB45/AB282</f>
      </c>
      <c r="AC53" s="371">
        <f>AC45/AC282</f>
      </c>
      <c r="AD53" s="127">
        <f>AD45/AD282</f>
      </c>
      <c r="AE53" s="127">
        <f>AE45/AE282</f>
      </c>
      <c r="AF53" s="127">
        <f>AF45/AF282</f>
      </c>
      <c r="AG53" s="127">
        <f>AG45/AG282</f>
      </c>
      <c r="AH53" s="16"/>
      <c r="AI53" s="16"/>
      <c r="AJ53" s="16"/>
      <c r="AK53" s="16"/>
    </row>
    <row r="54" ht="13.5" customHeight="1" spans="1:37" x14ac:dyDescent="0.25">
      <c r="A54" s="264"/>
      <c r="B54" s="16"/>
      <c r="C54" s="139" t="s">
        <v>289</v>
      </c>
      <c r="D54" s="16"/>
      <c r="E54" s="16"/>
      <c r="F54" s="370">
        <f t="shared" ref="F54:I54" si="65">(F45)/F284</f>
        <v>1.1961259079903148</v>
      </c>
      <c r="G54" s="370">
        <f>(G45)/G284</f>
        <v>1.8685503685503686</v>
      </c>
      <c r="H54" s="370">
        <f>(H45)/H284</f>
        <v>0.7794299876084263</v>
      </c>
      <c r="I54" s="370">
        <f>(I45)/I284</f>
        <v>-1.0287141073657928</v>
      </c>
      <c r="J54" s="127">
        <f>J45/J284</f>
        <v>2.888888888888889</v>
      </c>
      <c r="K54" s="370">
        <f t="shared" ref="K54:N54" si="66">(K45)/K284</f>
        <v>1.2663438256658595</v>
      </c>
      <c r="L54" s="370">
        <f>(L45)/L284</f>
        <v>2.058968058968059</v>
      </c>
      <c r="M54" s="370">
        <f>(M45)/M284</f>
        <v>1.2998760842627013</v>
      </c>
      <c r="N54" s="370">
        <f>(N45)/N284</f>
        <v>0.6367041198501873</v>
      </c>
      <c r="O54" s="127">
        <f>O45/O284</f>
        <v>5.344569288389513</v>
      </c>
      <c r="P54" s="370">
        <f t="shared" ref="P54:S54" si="67">(P45)/P284</f>
        <v>1.7685185185185186</v>
      </c>
      <c r="Q54" s="370">
        <f>(Q45)/Q284</f>
        <v>3.755644090305445</v>
      </c>
      <c r="R54" s="370">
        <f>(R45)/R284</f>
        <v>0.9177718832891246</v>
      </c>
      <c r="S54" s="370">
        <f>(S45)/S284</f>
        <v>1.304</v>
      </c>
      <c r="T54" s="127">
        <f>T45/T284</f>
        <v>7.78</v>
      </c>
      <c r="U54" s="370">
        <f t="shared" ref="U54:W54" si="68">(U45)/U284</f>
        <v>3.223611111111111</v>
      </c>
      <c r="V54" s="370">
        <f>(V45)/V284</f>
        <v>4.2687411598302685</v>
      </c>
      <c r="W54" s="370">
        <f>(W45)/W284</f>
        <v>2.739884393063584</v>
      </c>
      <c r="X54" s="371">
        <f>X45/X284</f>
      </c>
      <c r="Y54" s="127">
        <f>Y45/Y284</f>
      </c>
      <c r="Z54" s="371">
        <f>Z45/Z284</f>
      </c>
      <c r="AA54" s="371">
        <f>AA45/AA284</f>
      </c>
      <c r="AB54" s="371">
        <f>AB45/AB284</f>
      </c>
      <c r="AC54" s="371">
        <f>AC45/AC284</f>
      </c>
      <c r="AD54" s="127">
        <f>AD45/AD284</f>
      </c>
      <c r="AE54" s="127">
        <f>AE45/AE284</f>
      </c>
      <c r="AF54" s="127">
        <f>AF45/AF284</f>
      </c>
      <c r="AG54" s="127">
        <f>AG45/AG284</f>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F51/F282</f>
        <v>1.1975757575757575</v>
      </c>
      <c r="G56" s="370">
        <f>G51/G282</f>
        <v>2.081107011070111</v>
      </c>
      <c r="H56" s="370">
        <f>H51/H282</f>
        <v>1.0407196029776675</v>
      </c>
      <c r="I56" s="370">
        <f>I51/I282</f>
        <v>0.8012858926342075</v>
      </c>
      <c r="J56" s="127">
        <f>J51/J282</f>
        <v>5.194244694132335</v>
      </c>
      <c r="K56" s="370">
        <f>K51/K282</f>
        <v>1.1809333333333334</v>
      </c>
      <c r="L56" s="370">
        <f>L51/L282</f>
        <v>2.0711070110701106</v>
      </c>
      <c r="M56" s="370">
        <f>M51/M282</f>
        <v>1.349255583126551</v>
      </c>
      <c r="N56" s="370">
        <f>N51/N282</f>
        <v>0.9037702871410738</v>
      </c>
      <c r="O56" s="127">
        <f>O51/O282</f>
        <v>5.579900124843945</v>
      </c>
      <c r="P56" s="370">
        <f>P51/P282</f>
        <v>1.7808741721854304</v>
      </c>
      <c r="Q56" s="370">
        <f>Q51/Q282</f>
        <v>3.770651595744681</v>
      </c>
      <c r="R56" s="370">
        <f>R51/R282</f>
        <v>1.993058510638298</v>
      </c>
      <c r="S56" s="370">
        <f>S51/S282</f>
        <v>1.3074866310160427</v>
      </c>
      <c r="T56" s="127">
        <f>T51/T282</f>
        <v>8.899558823529413</v>
      </c>
      <c r="U56" s="370">
        <f>U51/U282</f>
        <v>3.232590529247911</v>
      </c>
      <c r="V56" s="370">
        <f>V51/V282</f>
        <v>4.280851063829787</v>
      </c>
      <c r="W56" s="370">
        <f>W51/W282</f>
        <v>2.7376811594202897</v>
      </c>
      <c r="X56" s="371">
        <f>X51/X282</f>
      </c>
      <c r="Y56" s="127">
        <f>Y51/Y282</f>
      </c>
      <c r="Z56" s="371">
        <f>Z51/Z282</f>
      </c>
      <c r="AA56" s="371">
        <f>AA51/AA282</f>
      </c>
      <c r="AB56" s="371">
        <f>AB51/AB282</f>
      </c>
      <c r="AC56" s="371">
        <f>AC51/AC282</f>
      </c>
      <c r="AD56" s="127">
        <f>AD51/AD282</f>
      </c>
      <c r="AE56" s="127">
        <f>AE51/AE282</f>
      </c>
      <c r="AF56" s="127">
        <f>AF51/AF282</f>
      </c>
      <c r="AG56" s="127">
        <f>AG51/AG282</f>
      </c>
      <c r="AH56" s="16"/>
      <c r="AI56" s="16"/>
      <c r="AJ56" s="16"/>
      <c r="AK56" s="16"/>
    </row>
    <row r="57" ht="13.5" customHeight="1" spans="1:37" x14ac:dyDescent="0.25">
      <c r="A57" s="264"/>
      <c r="B57" s="16"/>
      <c r="C57" s="139" t="s">
        <v>291</v>
      </c>
      <c r="D57" s="16"/>
      <c r="E57" s="16"/>
      <c r="F57" s="370">
        <f t="shared" ref="F57:AG57" si="70">F51/F284</f>
        <v>1.1961259079903148</v>
      </c>
      <c r="G57" s="370">
        <f>G51/G284</f>
        <v>2.078550368550369</v>
      </c>
      <c r="H57" s="370">
        <f>H51/H284</f>
        <v>1.039429987608426</v>
      </c>
      <c r="I57" s="370">
        <f>I51/I284</f>
        <v>0.8012858926342075</v>
      </c>
      <c r="J57" s="127">
        <f>J51/J284</f>
        <v>5.194244694132335</v>
      </c>
      <c r="K57" s="370">
        <f>K51/K284</f>
        <v>1.179503631961259</v>
      </c>
      <c r="L57" s="370">
        <f>L51/L284</f>
        <v>2.0685626535626533</v>
      </c>
      <c r="M57" s="370">
        <f>M51/M284</f>
        <v>1.3475836431226766</v>
      </c>
      <c r="N57" s="370">
        <f>N51/N284</f>
        <v>0.9037702871410738</v>
      </c>
      <c r="O57" s="127">
        <f>O51/O284</f>
        <v>5.579900124843945</v>
      </c>
      <c r="P57" s="370">
        <f>P51/P284</f>
        <v>1.7785185185185184</v>
      </c>
      <c r="Q57" s="370">
        <f>Q51/Q284</f>
        <v>3.7656440903054453</v>
      </c>
      <c r="R57" s="370">
        <f>R51/R284</f>
        <v>1.987771883289125</v>
      </c>
      <c r="S57" s="370">
        <f>S51/S284</f>
        <v>1.304</v>
      </c>
      <c r="T57" s="127">
        <f>T51/T284</f>
        <v>8.875826666666669</v>
      </c>
      <c r="U57" s="370">
        <f>U51/U284</f>
        <v>3.223611111111111</v>
      </c>
      <c r="V57" s="370">
        <f>V51/V284</f>
        <v>4.2687411598302685</v>
      </c>
      <c r="W57" s="370">
        <f>W51/W284</f>
        <v>2.729768786127168</v>
      </c>
      <c r="X57" s="371">
        <f>X51/X284</f>
      </c>
      <c r="Y57" s="127">
        <f>Y51/Y284</f>
      </c>
      <c r="Z57" s="371">
        <f>Z51/Z284</f>
      </c>
      <c r="AA57" s="371">
        <f>AA51/AA284</f>
      </c>
      <c r="AB57" s="371">
        <f>AB51/AB284</f>
      </c>
      <c r="AC57" s="371">
        <f>AC51/AC284</f>
      </c>
      <c r="AD57" s="127">
        <f>AD51/AD284</f>
      </c>
      <c r="AE57" s="127">
        <f>AE51/AE284</f>
      </c>
      <c r="AF57" s="127">
        <f>AF51/AF284</f>
      </c>
      <c r="AG57" s="127">
        <f>AG51/AG284</f>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F51-F44-F41-F40-F39-F38</f>
        <v>1465</v>
      </c>
      <c r="G59" s="353">
        <f>G51-G44-G41-G40-G39-G38</f>
        <v>2333.94</v>
      </c>
      <c r="H59" s="353">
        <f>H51-H44-H41-H40-H39-H38</f>
        <v>1166.82</v>
      </c>
      <c r="I59" s="353">
        <f>I51-I44-I41-I40-I39-I38</f>
        <v>898.8300000000002</v>
      </c>
      <c r="J59" s="282">
        <f t="shared" ref="J59:J61" si="72">SUM(F59:I59)</f>
        <v>5864.59</v>
      </c>
      <c r="K59" s="353">
        <f t="shared" ref="K59:N59" si="73">K51-K44-K41-K40-K39-K38</f>
        <v>1345.27</v>
      </c>
      <c r="L59" s="353">
        <f>L51-L44-L41-L40-L39-L38</f>
        <v>2388.81</v>
      </c>
      <c r="M59" s="353">
        <f>M51-M44-M41-M40-M39-M38</f>
        <v>1596.5</v>
      </c>
      <c r="N59" s="353">
        <f>N51-N44-N41-N40-N39-N38</f>
        <v>1171.92</v>
      </c>
      <c r="O59" s="282">
        <f t="shared" ref="O59:O61" si="74">SUM(K59:N59)</f>
        <v>6502.5</v>
      </c>
      <c r="P59" s="353">
        <f t="shared" ref="P59:S59" si="75">P51-P44-P41-P40-P39-P38</f>
        <v>1998.56</v>
      </c>
      <c r="Q59" s="353">
        <f>Q51-Q44-Q41-Q40-Q39-Q38</f>
        <v>3964.53</v>
      </c>
      <c r="R59" s="353">
        <f>R51-R44-R41-R40-R39-R38</f>
        <v>2981.78</v>
      </c>
      <c r="S59" s="353">
        <f>S51-S44-S41-S40-S39-S38</f>
        <v>2769</v>
      </c>
      <c r="T59" s="282">
        <f t="shared" ref="T59:T61" si="76">SUM(P59:S59)</f>
        <v>11713.87</v>
      </c>
      <c r="U59" s="353">
        <f t="shared" ref="U59:X59" si="77">U51-U44-U41-U40-U39-U38</f>
        <v>3245</v>
      </c>
      <c r="V59" s="353">
        <f>V51-V44-V41-V40-V39-V38</f>
        <v>4210</v>
      </c>
      <c r="W59" s="353">
        <f>W51-W44-W41-W40-W39-W38</f>
        <v>2782</v>
      </c>
      <c r="X59" s="281">
        <f>X51-X44-X41-X40-X39-X38</f>
      </c>
      <c r="Y59" s="282">
        <f>SUM(U59:X59)</f>
      </c>
      <c r="Z59" s="281">
        <f>Z51-Z44-Z41-Z40-Z39-Z38</f>
      </c>
      <c r="AA59" s="281">
        <f>AA51-AA44-AA41-AA40-AA39-AA38</f>
      </c>
      <c r="AB59" s="281">
        <f>AB51-AB44-AB41-AB40-AB39-AB38</f>
      </c>
      <c r="AC59" s="281">
        <f>AC51-AC44-AC41-AC40-AC39-AC38</f>
      </c>
      <c r="AD59" s="282">
        <f>SUM(Z59:AC59)</f>
      </c>
      <c r="AE59" s="282">
        <f>AE51-AE44-AE41-AE40-AE39-AE38</f>
      </c>
      <c r="AF59" s="282">
        <f>AF51-AF44-AF41-AF40-AF39-AF38</f>
      </c>
      <c r="AG59" s="282">
        <f>AG51-AG44-AG41-AG40-AG39-AG38</f>
      </c>
      <c r="AH59" s="16"/>
      <c r="AI59" s="16"/>
      <c r="AJ59" s="16"/>
      <c r="AK59" s="16"/>
    </row>
    <row r="60" ht="13.5" customHeight="1" spans="1:37" x14ac:dyDescent="0.25">
      <c r="A60" s="264"/>
      <c r="B60" s="16"/>
      <c r="C60" s="139" t="s">
        <v>273</v>
      </c>
      <c r="D60" s="16"/>
      <c r="E60" s="16"/>
      <c r="F60" s="372">
        <f t="shared" ref="F60:I60" si="78">-F34</f>
        <v>360</v>
      </c>
      <c r="G60" s="372">
        <f>-G34</f>
        <v>345</v>
      </c>
      <c r="H60" s="372">
        <f>-H34</f>
        <v>433</v>
      </c>
      <c r="I60" s="372">
        <f>-I34</f>
        <v>339</v>
      </c>
      <c r="J60" s="355">
        <f>SUM(F60:I60)</f>
        <v>1477</v>
      </c>
      <c r="K60" s="372">
        <f t="shared" ref="K60:N60" si="79">-K34</f>
        <v>302</v>
      </c>
      <c r="L60" s="372">
        <f>-L34</f>
        <v>311</v>
      </c>
      <c r="M60" s="372">
        <f>-M34</f>
        <v>310</v>
      </c>
      <c r="N60" s="372">
        <f>-N34</f>
        <v>339</v>
      </c>
      <c r="O60" s="355">
        <f>SUM(K60:N60)</f>
        <v>1262</v>
      </c>
      <c r="P60" s="372">
        <f t="shared" ref="P60:S60" si="80">-P34</f>
        <v>326</v>
      </c>
      <c r="Q60" s="372">
        <f>-Q34</f>
        <v>327</v>
      </c>
      <c r="R60" s="372">
        <f>-R34</f>
        <v>355</v>
      </c>
      <c r="S60" s="372">
        <f>-S34</f>
        <v>390</v>
      </c>
      <c r="T60" s="355">
        <f>SUM(P60:S60)</f>
        <v>1398</v>
      </c>
      <c r="U60" s="372">
        <f t="shared" ref="U60:X60" si="81">-U34</f>
        <v>391</v>
      </c>
      <c r="V60" s="372">
        <f>-V34</f>
        <v>409</v>
      </c>
      <c r="W60" s="372">
        <f>-W34</f>
        <v>425</v>
      </c>
      <c r="X60" s="356">
        <f>-X34</f>
        <v>331.18750000000006</v>
      </c>
      <c r="Y60" s="355">
        <f>SUM(U60:X60)</f>
        <v>1556.1875</v>
      </c>
      <c r="Z60" s="356">
        <f t="shared" ref="Z60:AC60" si="82">-Z34</f>
        <v>331.86891850000006</v>
      </c>
      <c r="AA60" s="356">
        <f>-AA34</f>
        <v>336.85146518625004</v>
      </c>
      <c r="AB60" s="356">
        <f>-AB34</f>
        <v>342.23237867969067</v>
      </c>
      <c r="AC60" s="356">
        <f>-AC34</f>
        <v>343.91086566405204</v>
      </c>
      <c r="AD60" s="355">
        <f>SUM(Z60:AC60)</f>
        <v>1354.863628029993</v>
      </c>
      <c r="AE60" s="355">
        <f t="shared" ref="AE60:AG60" si="83">-AE34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84">SUM(F59:F60)</f>
        <v>1825</v>
      </c>
      <c r="G61" s="353">
        <f>SUM(G59:G60)</f>
        <v>2678.94</v>
      </c>
      <c r="H61" s="353">
        <f>SUM(H59:H60)</f>
        <v>1599.82</v>
      </c>
      <c r="I61" s="353">
        <f>SUM(I59:I60)</f>
        <v>1237.8300000000002</v>
      </c>
      <c r="J61" s="282">
        <f>SUM(F61:I61)</f>
        <v>7341.59</v>
      </c>
      <c r="K61" s="353">
        <f t="shared" ref="K61:N61" si="85">SUM(K59:K60)</f>
        <v>1647.27</v>
      </c>
      <c r="L61" s="353">
        <f>SUM(L59:L60)</f>
        <v>2699.81</v>
      </c>
      <c r="M61" s="353">
        <f>SUM(M59:M60)</f>
        <v>1906.5</v>
      </c>
      <c r="N61" s="353">
        <f>SUM(N59:N60)</f>
        <v>1510.92</v>
      </c>
      <c r="O61" s="282">
        <f>SUM(K61:N61)</f>
        <v>7764.5</v>
      </c>
      <c r="P61" s="353">
        <f t="shared" ref="P61:S61" si="86">SUM(P59:P60)</f>
        <v>2324.56</v>
      </c>
      <c r="Q61" s="353">
        <f>SUM(Q59:Q60)</f>
        <v>4291.530000000001</v>
      </c>
      <c r="R61" s="353">
        <f>SUM(R59:R60)</f>
        <v>3336.78</v>
      </c>
      <c r="S61" s="353">
        <f>SUM(S59:S60)</f>
        <v>3159</v>
      </c>
      <c r="T61" s="282">
        <f>SUM(P61:S61)</f>
        <v>13111.87</v>
      </c>
      <c r="U61" s="353">
        <f t="shared" ref="U61:X61" si="87">SUM(U59:U60)</f>
        <v>3636</v>
      </c>
      <c r="V61" s="353">
        <f>SUM(V59:V60)</f>
        <v>4619</v>
      </c>
      <c r="W61" s="353">
        <f>SUM(W59:W60)</f>
        <v>3207</v>
      </c>
      <c r="X61" s="281">
        <f>SUM(X59:X60)</f>
      </c>
      <c r="Y61" s="282">
        <f>SUM(U61:X61)</f>
      </c>
      <c r="Z61" s="281">
        <f>SUM(Z59:Z60)</f>
      </c>
      <c r="AA61" s="281">
        <f>SUM(AA59:AA60)</f>
      </c>
      <c r="AB61" s="281">
        <f>SUM(AB59:AB60)</f>
      </c>
      <c r="AC61" s="281">
        <f>SUM(AC59:AC60)</f>
      </c>
      <c r="AD61" s="282">
        <f>SUM(Z61:AC61)</f>
      </c>
      <c r="AE61" s="282">
        <f>SUM(AE59:AE60)</f>
      </c>
      <c r="AF61" s="282">
        <f>SUM(AF59:AF60)</f>
      </c>
      <c r="AG61" s="282">
        <f>SUM(AG59:AG60)</f>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t="str">
        <f t="shared" ref="F63:AG63" si="88">F$25</f>
        <v>1Q23</v>
      </c>
      <c r="G63" s="194" t="str">
        <f>G$25</f>
        <v>2Q23</v>
      </c>
      <c r="H63" s="194" t="str">
        <f>H$25</f>
        <v>3Q23</v>
      </c>
      <c r="I63" s="194" t="str">
        <f>I$25</f>
        <v>4Q23</v>
      </c>
      <c r="J63" s="194">
        <f>J$25</f>
        <v>2023</v>
      </c>
      <c r="K63" s="194" t="str">
        <f>K$25</f>
        <v>1Q24</v>
      </c>
      <c r="L63" s="194" t="str">
        <f>L$25</f>
        <v>2Q24</v>
      </c>
      <c r="M63" s="194" t="str">
        <f>M$25</f>
        <v>3Q24</v>
      </c>
      <c r="N63" s="194" t="str">
        <f>N$25</f>
        <v>4Q24</v>
      </c>
      <c r="O63" s="194">
        <f>O$25</f>
        <v>2024</v>
      </c>
      <c r="P63" s="194" t="str">
        <f>P$25</f>
        <v>1Q25</v>
      </c>
      <c r="Q63" s="194" t="str">
        <f>Q$25</f>
        <v>2Q25</v>
      </c>
      <c r="R63" s="194" t="str">
        <f>R$25</f>
        <v>3Q25</v>
      </c>
      <c r="S63" s="194" t="str">
        <f>S$25</f>
        <v>4Q25</v>
      </c>
      <c r="T63" s="194">
        <f>T$25</f>
        <v>2025</v>
      </c>
      <c r="U63" s="194" t="str">
        <f>U$25</f>
        <v>1Q26</v>
      </c>
      <c r="V63" s="194" t="str">
        <f>V$25</f>
        <v>2Q26</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F30/F28</f>
        <v>0.34631336405529956</v>
      </c>
      <c r="G66" s="377">
        <f>G30/G28</f>
        <v>0.34464764458062047</v>
      </c>
      <c r="H66" s="377">
        <f>H30/H28</f>
        <v>0.32500717772035603</v>
      </c>
      <c r="I66" s="377">
        <f>I30/I28</f>
        <v>0.2580212194810175</v>
      </c>
      <c r="J66" s="378">
        <f>J30/J28</f>
        <v>0.3212497721185264</v>
      </c>
      <c r="K66" s="377">
        <f>K30/K28</f>
        <v>0.314582041598557</v>
      </c>
      <c r="L66" s="377">
        <f>L30/L28</f>
        <v>0.3210746951219512</v>
      </c>
      <c r="M66" s="377">
        <f>M30/M28</f>
        <v>0.3243616287094548</v>
      </c>
      <c r="N66" s="377">
        <f>N30/N28</f>
        <v>0.31085043988269795</v>
      </c>
      <c r="O66" s="378">
        <f>O30/O28</f>
        <v>0.3179991129345235</v>
      </c>
      <c r="P66" s="377">
        <f>P30/P28</f>
        <v>0.3310292249047014</v>
      </c>
      <c r="Q66" s="377">
        <f>Q30/Q28</f>
        <v>0.3407808951725148</v>
      </c>
      <c r="R66" s="377">
        <f>R30/R28</f>
        <v>0.3272221973194675</v>
      </c>
      <c r="S66" s="377">
        <f>S30/S28</f>
        <v>0.31834966274432575</v>
      </c>
      <c r="T66" s="378">
        <f>T30/T28</f>
        <v>0.3301784657968459</v>
      </c>
      <c r="U66" s="377">
        <f>U30/U28</f>
        <v>0.3328965686675948</v>
      </c>
      <c r="V66" s="377">
        <f>V30/V28</f>
        <v>0.33775843307943415</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90">F32/F28</f>
        <v>-0.24118663594470047</v>
      </c>
      <c r="G67" s="377">
        <f>G32/G28</f>
        <v>-0.2245787054768288</v>
      </c>
      <c r="H67" s="377">
        <f>H32/H28</f>
        <v>-0.24519092736147</v>
      </c>
      <c r="I67" s="377">
        <f>I32/I28</f>
        <v>-0.27259363415569476</v>
      </c>
      <c r="J67" s="378">
        <f>J32/J28</f>
        <v>-0.2441907753579492</v>
      </c>
      <c r="K67" s="377">
        <f>K32/K28</f>
        <v>-0.21768784172256356</v>
      </c>
      <c r="L67" s="377">
        <f>L32/L28</f>
        <v>-0.19283536585365854</v>
      </c>
      <c r="M67" s="377">
        <f>M32/M28</f>
        <v>-0.21693121693121692</v>
      </c>
      <c r="N67" s="377">
        <f>N32/N28</f>
        <v>-0.2299245024021963</v>
      </c>
      <c r="O67" s="378">
        <f>O32/O28</f>
        <v>-0.21299273715141098</v>
      </c>
      <c r="P67" s="377">
        <f>P32/P28</f>
        <v>-0.21326556543837358</v>
      </c>
      <c r="Q67" s="377">
        <f>Q32/Q28</f>
        <v>-0.18386931360339903</v>
      </c>
      <c r="R67" s="377">
        <f>R32/R28</f>
        <v>-0.2138150522210767</v>
      </c>
      <c r="S67" s="377">
        <f>S32/S28</f>
        <v>-0.16281817734232681</v>
      </c>
      <c r="T67" s="378">
        <f>T32/T28</f>
        <v>-0.19300869448753866</v>
      </c>
      <c r="U67" s="377">
        <f>U32/U28</f>
        <v>-0.18401441323396936</v>
      </c>
      <c r="V67" s="377">
        <f>V32/V28</f>
        <v>-0.17022125498730503</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91">F33/F28</f>
        <v>0</v>
      </c>
      <c r="G68" s="377">
        <f>G33/G28</f>
      </c>
      <c r="H68" s="377">
        <f>H33/H28</f>
      </c>
      <c r="I68" s="377">
        <f>I33/I28</f>
      </c>
      <c r="J68" s="378">
        <f>J33/J28</f>
      </c>
      <c r="K68" s="377">
        <f>K33/K28</f>
      </c>
      <c r="L68" s="377">
        <f>L33/L28</f>
      </c>
      <c r="M68" s="377">
        <f>M33/M28</f>
      </c>
      <c r="N68" s="377">
        <f>N33/N28</f>
      </c>
      <c r="O68" s="378">
        <f>O33/O28</f>
      </c>
      <c r="P68" s="377">
        <f>P33/P28</f>
      </c>
      <c r="Q68" s="377">
        <f>Q33/Q28</f>
      </c>
      <c r="R68" s="377">
        <f>R33/R28</f>
      </c>
      <c r="S68" s="377">
        <f>S33/S28</f>
      </c>
      <c r="T68" s="378">
        <f>T33/T28</f>
      </c>
      <c r="U68" s="377">
        <f>U33/U28</f>
      </c>
      <c r="V68" s="377">
        <f>V33/V28</f>
      </c>
      <c r="W68" s="377">
        <f>W33/W28</f>
      </c>
      <c r="X68" s="380">
        <f>Drivers!X45</f>
        <v>0</v>
      </c>
      <c r="Y68" s="378">
        <f>Y33/Y28</f>
        <v>0</v>
      </c>
      <c r="Z68" s="380">
        <f>Drivers!Z45</f>
        <v>0</v>
      </c>
      <c r="AA68" s="380">
        <f>Drivers!AA45</f>
        <v>0</v>
      </c>
      <c r="AB68" s="380">
        <f>Drivers!AB45</f>
        <v>0</v>
      </c>
      <c r="AC68" s="380">
        <f>Drivers!AC45</f>
        <v>0</v>
      </c>
      <c r="AD68" s="378">
        <f>AD33/AD28</f>
        <v>0</v>
      </c>
      <c r="AE68" s="381">
        <f>Drivers!AE45</f>
        <v>0</v>
      </c>
      <c r="AF68" s="381">
        <f>Drivers!AF45</f>
        <v>0</v>
      </c>
      <c r="AG68" s="381">
        <f>Drivers!AG45</f>
        <v>0</v>
      </c>
      <c r="AH68" s="16"/>
      <c r="AI68" s="16"/>
      <c r="AJ68" s="16"/>
      <c r="AK68" s="16"/>
    </row>
    <row r="69" ht="13.5" customHeight="1" spans="1:37" x14ac:dyDescent="0.25">
      <c r="A69" s="264"/>
      <c r="B69" s="47"/>
      <c r="C69" s="16" t="s">
        <v>296</v>
      </c>
      <c r="D69" s="47"/>
      <c r="E69" s="47"/>
      <c r="F69" s="377">
        <f t="shared" ref="F69:W69" si="92">F35/F28</f>
        <v>0</v>
      </c>
      <c r="G69" s="377">
        <f>G35/G28</f>
      </c>
      <c r="H69" s="377">
        <f>H35/H28</f>
      </c>
      <c r="I69" s="377">
        <f>I35/I28</f>
      </c>
      <c r="J69" s="378">
        <f>J35/J28</f>
      </c>
      <c r="K69" s="377">
        <f>K35/K28</f>
      </c>
      <c r="L69" s="377">
        <f>L35/L28</f>
      </c>
      <c r="M69" s="377">
        <f>M35/M28</f>
      </c>
      <c r="N69" s="377">
        <f>N35/N28</f>
      </c>
      <c r="O69" s="378">
        <f>O35/O28</f>
      </c>
      <c r="P69" s="377">
        <f>P35/P28</f>
      </c>
      <c r="Q69" s="377">
        <f>Q35/Q28</f>
      </c>
      <c r="R69" s="377">
        <f>R35/R28</f>
      </c>
      <c r="S69" s="377">
        <f>S35/S28</f>
      </c>
      <c r="T69" s="378">
        <f>T35/T28</f>
      </c>
      <c r="U69" s="377">
        <f>U35/U28</f>
      </c>
      <c r="V69" s="377">
        <f>V35/V28</f>
      </c>
      <c r="W69" s="377">
        <f>W35/W28</f>
      </c>
      <c r="X69" s="380">
        <f>Drivers!X50</f>
        <v>0</v>
      </c>
      <c r="Y69" s="378">
        <f>Y35/Y28</f>
        <v>0</v>
      </c>
      <c r="Z69" s="380">
        <f>Drivers!Z50</f>
        <v>0</v>
      </c>
      <c r="AA69" s="380">
        <f>Drivers!AA50</f>
        <v>0</v>
      </c>
      <c r="AB69" s="380">
        <f>Drivers!AB50</f>
        <v>0</v>
      </c>
      <c r="AC69" s="380">
        <f>Drivers!AC50</f>
        <v>0</v>
      </c>
      <c r="AD69" s="378">
        <f>AD35/AD28</f>
        <v>0</v>
      </c>
      <c r="AE69" s="381">
        <f>Drivers!AE50</f>
        <v>0</v>
      </c>
      <c r="AF69" s="381">
        <f>Drivers!AF50</f>
        <v>0</v>
      </c>
      <c r="AG69" s="381">
        <f>Drivers!AG50</f>
        <v>0</v>
      </c>
      <c r="AH69" s="16"/>
      <c r="AI69" s="16"/>
      <c r="AJ69" s="16"/>
      <c r="AK69" s="16"/>
    </row>
    <row r="70" ht="13.5" customHeight="1" spans="1:37" x14ac:dyDescent="0.25">
      <c r="A70" s="264"/>
      <c r="B70" s="47"/>
      <c r="C70" s="16" t="s">
        <v>297</v>
      </c>
      <c r="D70" s="47"/>
      <c r="E70" s="47"/>
      <c r="F70" s="377">
        <f t="shared" ref="F70:W70" si="93">F41/F28</f>
        <v>0</v>
      </c>
      <c r="G70" s="377">
        <f>G41/G28</f>
      </c>
      <c r="H70" s="377">
        <f>H41/H28</f>
      </c>
      <c r="I70" s="377">
        <f>I41/I28</f>
      </c>
      <c r="J70" s="378">
        <f>J41/J28</f>
      </c>
      <c r="K70" s="377">
        <f>K41/K28</f>
      </c>
      <c r="L70" s="377">
        <f>L41/L28</f>
      </c>
      <c r="M70" s="377">
        <f>M41/M28</f>
      </c>
      <c r="N70" s="377">
        <f>N41/N28</f>
      </c>
      <c r="O70" s="378">
        <f>O41/O28</f>
      </c>
      <c r="P70" s="377">
        <f>P41/P28</f>
      </c>
      <c r="Q70" s="377">
        <f>Q41/Q28</f>
      </c>
      <c r="R70" s="377">
        <f>R41/R28</f>
        <v>-0.047514456049128156</v>
      </c>
      <c r="S70" s="377">
        <f>S41/S28</f>
        <v>-0.061296834227758355</v>
      </c>
      <c r="T70" s="378">
        <f>T41/T28</f>
        <v>-0.02572630780048439</v>
      </c>
      <c r="U70" s="377">
        <f>U41/U28</f>
      </c>
      <c r="V70" s="377">
        <f>V41/V28</f>
      </c>
      <c r="W70" s="377">
        <f>W41/W28</f>
      </c>
      <c r="X70" s="380">
        <f>Drivers!X57</f>
        <v>0</v>
      </c>
      <c r="Y70" s="378">
        <f>Y41/Y28</f>
        <v>0</v>
      </c>
      <c r="Z70" s="380">
        <f>Drivers!Z57</f>
        <v>0</v>
      </c>
      <c r="AA70" s="380">
        <f>Drivers!AA57</f>
        <v>0</v>
      </c>
      <c r="AB70" s="380">
        <f>Drivers!AB57</f>
        <v>0</v>
      </c>
      <c r="AC70" s="380">
        <f>Drivers!AC57</f>
        <v>0</v>
      </c>
      <c r="AD70" s="378">
        <f>AD41/AD28</f>
        <v>0</v>
      </c>
      <c r="AE70" s="381">
        <f>Drivers!AE57</f>
        <v>0</v>
      </c>
      <c r="AF70" s="381">
        <f>Drivers!AF57</f>
        <v>0</v>
      </c>
      <c r="AG70" s="381">
        <f>Drivers!AG57</f>
        <v>0</v>
      </c>
      <c r="AH70" s="16"/>
      <c r="AI70" s="16"/>
      <c r="AJ70" s="16"/>
      <c r="AK70" s="16"/>
    </row>
    <row r="71" ht="13.5" customHeight="1" spans="1:37" x14ac:dyDescent="0.25">
      <c r="A71" s="264"/>
      <c r="B71" s="47"/>
      <c r="C71" s="16" t="s">
        <v>298</v>
      </c>
      <c r="D71" s="47"/>
      <c r="E71" s="47"/>
      <c r="F71" s="377">
        <f t="shared" ref="F71:W71" si="94">-F44/F42</f>
        <v>0.24291187739463602</v>
      </c>
      <c r="G71" s="377">
        <f>-G44/G42</f>
        <v>0.24365987071108902</v>
      </c>
      <c r="H71" s="377">
        <f>-H44/H42</f>
        <v>0.21766169154228857</v>
      </c>
      <c r="I71" s="377">
        <f>-I44/I42</f>
        <v>-0.1349862258953168</v>
      </c>
      <c r="J71" s="378">
        <f>-J44/J42</f>
        <v>0.3182086034177961</v>
      </c>
      <c r="K71" s="377">
        <f>-K44/K42</f>
        <v>0.16653386454183267</v>
      </c>
      <c r="L71" s="377">
        <f>-L44/L42</f>
        <v>0.2423146473779385</v>
      </c>
      <c r="M71" s="377">
        <f>-M44/M42</f>
        <v>0.24040550325850832</v>
      </c>
      <c r="N71" s="377">
        <f>-N44/N42</f>
        <v>0.3419354838709677</v>
      </c>
      <c r="O71" s="378">
        <f>-O44/O42</f>
        <v>0.23866263560377024</v>
      </c>
      <c r="P71" s="377">
        <f>-P44/P42</f>
        <v>0.25139977603583424</v>
      </c>
      <c r="Q71" s="377">
        <f>-Q44/Q42</f>
        <v>0.24344569288389514</v>
      </c>
      <c r="R71" s="377">
        <f>-R44/R42</f>
        <v>0.22595078299776286</v>
      </c>
      <c r="S71" s="377">
        <f>-S44/S42</f>
        <v>0.2590909090909091</v>
      </c>
      <c r="T71" s="378">
        <f>-T44/T42</f>
        <v>0.24592918066683897</v>
      </c>
      <c r="U71" s="377">
        <f>-U44/U42</f>
        <v>0.23500329597890574</v>
      </c>
      <c r="V71" s="377">
        <f>-V44/V42</f>
        <v>0.2443665498247371</v>
      </c>
      <c r="W71" s="377">
        <f>-W44/W42</f>
        <v>0.26110678098207324</v>
      </c>
      <c r="X71" s="380">
        <f>Drivers!X64</f>
        <v>0.24</v>
      </c>
      <c r="Y71" s="378">
        <f>-Y44/Y42</f>
      </c>
      <c r="Z71" s="380">
        <f>Drivers!Z64</f>
        <v>0.24</v>
      </c>
      <c r="AA71" s="380">
        <f>Drivers!AA64</f>
        <v>0.24</v>
      </c>
      <c r="AB71" s="380">
        <f>Drivers!AB64</f>
        <v>0.24</v>
      </c>
      <c r="AC71" s="380">
        <f>Drivers!AC64</f>
        <v>0.24</v>
      </c>
      <c r="AD71" s="378">
        <f>-AD44/AD42</f>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t="str">
        <f>F$25</f>
        <v>1Q23</v>
      </c>
      <c r="G73" s="63" t="str">
        <f t="shared" ref="G73:AG73" si="95">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c>
      <c r="Y75" s="162">
        <f>SUM(U75:X75)</f>
      </c>
      <c r="Z75" s="359">
        <f>Z45</f>
      </c>
      <c r="AA75" s="359">
        <f>AA45</f>
      </c>
      <c r="AB75" s="359">
        <f>AB45</f>
      </c>
      <c r="AC75" s="359">
        <f>AC45</f>
      </c>
      <c r="AD75" s="162">
        <f>SUM(Z75:AC75)</f>
      </c>
      <c r="AE75" s="162">
        <f>AE45</f>
      </c>
      <c r="AF75" s="162">
        <f>AF45</f>
      </c>
      <c r="AG75" s="162">
        <f>AG45</f>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96">-(Z194+Z208)</f>
        <v>331.86891850000006</v>
      </c>
      <c r="AA76" s="359">
        <f>-(AA194+AA208)</f>
        <v>336.85146518625004</v>
      </c>
      <c r="AB76" s="359">
        <f>-(AB194+AB208)</f>
        <v>342.23237867969067</v>
      </c>
      <c r="AC76" s="359">
        <f>-(AC194+AC208)</f>
        <v>343.91086566405204</v>
      </c>
      <c r="AD76" s="162">
        <f>SUM(Z76:AC76)</f>
        <v>1354.863628029993</v>
      </c>
      <c r="AE76" s="162">
        <f t="shared" ref="AE76:AG76" si="97">-(AE194+AE208)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98">Z246</f>
        <v>60.534</v>
      </c>
      <c r="AA77" s="359">
        <f>AA246</f>
        <v>69.00876</v>
      </c>
      <c r="AB77" s="359">
        <f>AB246</f>
        <v>60.7277088</v>
      </c>
      <c r="AC77" s="359">
        <f>AC246</f>
        <v>57.69132336</v>
      </c>
      <c r="AD77" s="162">
        <f>SUM(Z77:AC77)</f>
        <v>247.96179216000002</v>
      </c>
      <c r="AE77" s="162">
        <f t="shared" ref="AE77:AG77" si="99">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100">Z174</f>
        <v>-3218.803117167892</v>
      </c>
      <c r="AA78" s="359">
        <f>AA174</f>
        <v>1362.6979720093877</v>
      </c>
      <c r="AB78" s="359">
        <f>AB174</f>
        <v>1373.9746146900507</v>
      </c>
      <c r="AC78" s="359">
        <f>AC174</f>
        <v>-901.3647696096486</v>
      </c>
      <c r="AD78" s="162">
        <f>SUM(Z78:AC78)</f>
        <v>-1383.4953000781024</v>
      </c>
      <c r="AE78" s="162">
        <f t="shared" ref="AE78:AG78" si="101">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102">Z228</f>
        <v>-114.77040000000034</v>
      </c>
      <c r="AA79" s="356">
        <f>AA228</f>
        <v>-117.06580800000029</v>
      </c>
      <c r="AB79" s="356">
        <f>AB228</f>
        <v>-119.40712416000042</v>
      </c>
      <c r="AC79" s="356">
        <f>AC228</f>
        <v>-121.7952666432002</v>
      </c>
      <c r="AD79" s="355">
        <f>SUM(Z79:AC79)</f>
        <v>-473.03859880320124</v>
      </c>
      <c r="AE79" s="355">
        <f t="shared" ref="AE79:AG79" si="103">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c>
      <c r="Y80" s="282">
        <f>SUM(U80:X80)</f>
      </c>
      <c r="Z80" s="281">
        <f>SUM(Z75:Z79)</f>
      </c>
      <c r="AA80" s="281">
        <f>SUM(AA75:AA79)</f>
      </c>
      <c r="AB80" s="281">
        <f>SUM(AB75:AB79)</f>
      </c>
      <c r="AC80" s="281">
        <f>SUM(AC75:AC79)</f>
      </c>
      <c r="AD80" s="282">
        <f>SUM(Z80:AC80)</f>
      </c>
      <c r="AE80" s="282">
        <f>SUM(AE75:AE79)</f>
      </c>
      <c r="AF80" s="282">
        <f>SUM(AF75:AF79)</f>
      </c>
      <c r="AG80" s="282">
        <f>SUM(AG75:AG79)</f>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104">SUM(U82:X82)</f>
        <v>-370.1257</v>
      </c>
      <c r="Z82" s="359">
        <f t="shared" ref="Z82:AC82" si="105">-Z193</f>
        <v>-616.585872</v>
      </c>
      <c r="AA82" s="359">
        <f>-AA193</f>
        <v>-644.3322362399999</v>
      </c>
      <c r="AB82" s="359">
        <f>-AB193</f>
        <v>-438.14592064320004</v>
      </c>
      <c r="AC82" s="359">
        <f>-AC193</f>
        <v>-416.23862461104</v>
      </c>
      <c r="AD82" s="162">
        <f t="shared" ref="AD82:AD85" si="106">SUM(Z82:AC82)</f>
        <v>-2115.30265349424</v>
      </c>
      <c r="AE82" s="162">
        <f t="shared" ref="AE82:AG82" si="107">-AE193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0</v>
      </c>
      <c r="Y83" s="162">
        <f>SUM(U83:X83)</f>
      </c>
      <c r="Z83" s="359">
        <f t="shared" ref="Z83:AC83" si="108">-Z207</f>
        <v>0</v>
      </c>
      <c r="AA83" s="359">
        <f>-AA207</f>
      </c>
      <c r="AB83" s="359">
        <f>-AB207</f>
      </c>
      <c r="AC83" s="359">
        <f>-AC207</f>
      </c>
      <c r="AD83" s="162">
        <f>SUM(Z83:AC83)</f>
      </c>
      <c r="AE83" s="162">
        <f t="shared" ref="AE83:AG83" si="109">-AE207</f>
        <v>0</v>
      </c>
      <c r="AF83" s="162">
        <f>-AF207</f>
      </c>
      <c r="AG83" s="162">
        <f>-AG207</f>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0</v>
      </c>
      <c r="Y84" s="355">
        <f>SUM(U84:X84)</f>
      </c>
      <c r="Z84" s="385">
        <f>Drivers!Z97</f>
        <v>0</v>
      </c>
      <c r="AA84" s="385">
        <f>Drivers!AA97</f>
        <v>0</v>
      </c>
      <c r="AB84" s="385">
        <f>Drivers!AB97</f>
        <v>0</v>
      </c>
      <c r="AC84" s="385">
        <f>Drivers!AC97</f>
        <v>0</v>
      </c>
      <c r="AD84" s="355">
        <f>SUM(Z84:AC84)</f>
      </c>
      <c r="AE84" s="355">
        <f>Drivers!AE97</f>
        <v>0</v>
      </c>
      <c r="AF84" s="355">
        <f>Drivers!AF97</f>
        <v>0</v>
      </c>
      <c r="AG84" s="355">
        <f>Drivers!AG97</f>
        <v>0</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110">SUM(Z82:Z84)</f>
        <v>-616.585872</v>
      </c>
      <c r="AA85" s="281">
        <f>SUM(AA82:AA84)</f>
        <v>-644.3322362399999</v>
      </c>
      <c r="AB85" s="281">
        <f>SUM(AB82:AB84)</f>
        <v>-438.14592064320004</v>
      </c>
      <c r="AC85" s="281">
        <f>SUM(AC82:AC84)</f>
        <v>-416.23862461104</v>
      </c>
      <c r="AD85" s="282">
        <f>SUM(Z85:AC85)</f>
        <v>-2115.30265349424</v>
      </c>
      <c r="AE85" s="282">
        <f t="shared" ref="AE85:AG85" si="111">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c>
      <c r="Y87" s="389">
        <f>SUM(U87:X87)</f>
      </c>
      <c r="Z87" s="390">
        <f>SUM(Z80,Z85)</f>
      </c>
      <c r="AA87" s="390">
        <f>SUM(AA80,AA85)</f>
      </c>
      <c r="AB87" s="390">
        <f>SUM(AB80,AB85)</f>
      </c>
      <c r="AC87" s="390">
        <f>SUM(AC80,AC85)</f>
      </c>
      <c r="AD87" s="389">
        <f>SUM(Z87:AC87)</f>
      </c>
      <c r="AE87" s="389">
        <f>SUM(AE80,AE85)</f>
      </c>
      <c r="AF87" s="389">
        <f>SUM(AF80,AF85)</f>
      </c>
      <c r="AG87" s="389">
        <f>SUM(AG80,AG85)</f>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c>
      <c r="Y89" s="162">
        <f>SUM(U89:X89)</f>
      </c>
      <c r="Z89" s="359">
        <f>Z303</f>
      </c>
      <c r="AA89" s="359">
        <f>AA303</f>
      </c>
      <c r="AB89" s="359">
        <f>AB303</f>
      </c>
      <c r="AC89" s="359">
        <f>AC303</f>
      </c>
      <c r="AD89" s="162">
        <f>SUM(Z89:AC89)</f>
      </c>
      <c r="AE89" s="162">
        <f>AE303</f>
      </c>
      <c r="AF89" s="162">
        <f>AF303</f>
      </c>
      <c r="AG89" s="162">
        <f>AG303</f>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X308</f>
        <v>0</v>
      </c>
      <c r="Y90" s="162">
        <f>SUM(U90:X90)</f>
      </c>
      <c r="Z90" s="359">
        <f t="shared" ref="Z90:AC90" si="113">Z308</f>
        <v>0</v>
      </c>
      <c r="AA90" s="359">
        <f>AA308</f>
      </c>
      <c r="AB90" s="359">
        <f>AB308</f>
      </c>
      <c r="AC90" s="359">
        <f>AC308</f>
      </c>
      <c r="AD90" s="162">
        <f>SUM(Z90:AC90)</f>
      </c>
      <c r="AE90" s="162">
        <f t="shared" ref="AE90:AG90" si="114">AE308</f>
        <v>0</v>
      </c>
      <c r="AF90" s="162">
        <f>AF308</f>
      </c>
      <c r="AG90" s="162">
        <f>AG308</f>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15">Z309</f>
        <v>-500</v>
      </c>
      <c r="AA91" s="359">
        <f>AA309</f>
        <v>-500</v>
      </c>
      <c r="AB91" s="359">
        <f>AB309</f>
        <v>-500</v>
      </c>
      <c r="AC91" s="359">
        <f>AC309</f>
        <v>-500</v>
      </c>
      <c r="AD91" s="162">
        <f>SUM(Z91:AC91)</f>
        <v>-2000</v>
      </c>
      <c r="AE91" s="162">
        <f t="shared" ref="AE91:AG91" si="116">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0</v>
      </c>
      <c r="Y92" s="162">
        <f>SUM(U92:X92)</f>
      </c>
      <c r="Z92" s="359">
        <f t="shared" ref="Z92:AC92" si="117">Z245</f>
        <v>0</v>
      </c>
      <c r="AA92" s="359">
        <f>AA245</f>
      </c>
      <c r="AB92" s="359">
        <f>AB245</f>
      </c>
      <c r="AC92" s="359">
        <f>AC245</f>
      </c>
      <c r="AD92" s="162">
        <f>SUM(Z92:AC92)</f>
      </c>
      <c r="AE92" s="162">
        <f t="shared" ref="AE92:AG92" si="118">AE245</f>
        <v>0</v>
      </c>
      <c r="AF92" s="162">
        <f>AF245</f>
      </c>
      <c r="AG92" s="162">
        <f>AG245</f>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19">-Z241</f>
        <v>-500</v>
      </c>
      <c r="AA93" s="359">
        <f>-AA241</f>
        <v>-500</v>
      </c>
      <c r="AB93" s="359">
        <f>-AB241</f>
        <v>-500</v>
      </c>
      <c r="AC93" s="359">
        <f>-AC241</f>
        <v>-500</v>
      </c>
      <c r="AD93" s="162">
        <f>SUM(Z93:AC93)</f>
        <v>-2000</v>
      </c>
      <c r="AE93" s="162">
        <f t="shared" ref="AE93:AG93" si="120">-AE241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21">-Z267</f>
        <v>-505.99999999999994</v>
      </c>
      <c r="AA94" s="359">
        <f>-AA267</f>
        <v>-494.49999999999994</v>
      </c>
      <c r="AB94" s="359">
        <f>-AB267</f>
        <v>-647.4499999999999</v>
      </c>
      <c r="AC94" s="359">
        <f>-AC267</f>
        <v>-597.7699999999999</v>
      </c>
      <c r="AD94" s="162">
        <f>SUM(Z94:AC94)</f>
        <v>-2245.72</v>
      </c>
      <c r="AE94" s="162">
        <f t="shared" ref="AE94:AG94" si="122">-AE267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0</v>
      </c>
      <c r="Y95" s="355">
        <f>SUM(U95:X95)</f>
      </c>
      <c r="Z95" s="385">
        <f>Drivers!Z106</f>
        <v>0</v>
      </c>
      <c r="AA95" s="385">
        <f>Drivers!AA106</f>
        <v>0</v>
      </c>
      <c r="AB95" s="385">
        <f>Drivers!AB106</f>
        <v>0</v>
      </c>
      <c r="AC95" s="385">
        <f>Drivers!AC106</f>
        <v>0</v>
      </c>
      <c r="AD95" s="355">
        <f>SUM(Z95:AC95)</f>
      </c>
      <c r="AE95" s="391">
        <f>Drivers!AE106</f>
        <v>0</v>
      </c>
      <c r="AF95" s="391">
        <f>Drivers!AF106</f>
        <v>0</v>
      </c>
      <c r="AG95" s="391">
        <f>Drivers!AG106</f>
        <v>0</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c>
      <c r="Y96" s="282">
        <f>SUM(U96:X96)</f>
      </c>
      <c r="Z96" s="281">
        <f>SUM(Z89:Z95)</f>
      </c>
      <c r="AA96" s="281">
        <f>SUM(AA89:AA95)</f>
      </c>
      <c r="AB96" s="281">
        <f>SUM(AB89:AB95)</f>
      </c>
      <c r="AC96" s="281">
        <f>SUM(AC89:AC95)</f>
      </c>
      <c r="AD96" s="282">
        <f>SUM(Z96:AC96)</f>
      </c>
      <c r="AE96" s="282">
        <f>SUM(AE89:AE95)</f>
      </c>
      <c r="AF96" s="282">
        <f>SUM(AF89:AF95)</f>
      </c>
      <c r="AG96" s="282">
        <f>SUM(AG89:AG95)</f>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0</v>
      </c>
      <c r="Y98" s="162">
        <f t="shared" ref="Y98:Y100" si="123">SUM(U98:X98)</f>
        <v>0</v>
      </c>
      <c r="Z98" s="361">
        <f>Drivers!Z108</f>
        <v>0</v>
      </c>
      <c r="AA98" s="361">
        <f>Drivers!AA108</f>
        <v>0</v>
      </c>
      <c r="AB98" s="361">
        <f>Drivers!AB108</f>
        <v>0</v>
      </c>
      <c r="AC98" s="361">
        <f>Drivers!AC108</f>
        <v>0</v>
      </c>
      <c r="AD98" s="162">
        <f t="shared" ref="AD98:AD100" si="124">SUM(Z98:AC98)</f>
        <v>0</v>
      </c>
      <c r="AE98" s="362">
        <f>Drivers!AE108</f>
        <v>0</v>
      </c>
      <c r="AF98" s="362">
        <f>Drivers!AF108</f>
        <v>0</v>
      </c>
      <c r="AG98" s="362">
        <f>Drivers!AG108</f>
        <v>0</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c>
      <c r="Z99" s="365">
        <v>0</v>
      </c>
      <c r="AA99" s="365">
        <v>0</v>
      </c>
      <c r="AB99" s="365">
        <v>0</v>
      </c>
      <c r="AC99" s="365">
        <v>0</v>
      </c>
      <c r="AD99" s="162">
        <f>SUM(Z99:AC99)</f>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c>
      <c r="Z100" s="365">
        <v>0</v>
      </c>
      <c r="AA100" s="365">
        <v>0</v>
      </c>
      <c r="AB100" s="365">
        <v>0</v>
      </c>
      <c r="AC100" s="365">
        <v>0</v>
      </c>
      <c r="AD100" s="162">
        <f>SUM(Z100:AC100)</f>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c>
      <c r="AA102" s="281">
        <f>Z104+AA99</f>
      </c>
      <c r="AB102" s="281">
        <f>AA104+AB99</f>
      </c>
      <c r="AC102" s="281">
        <f>AB104+AC99</f>
      </c>
      <c r="AD102" s="282">
        <f>Z102</f>
      </c>
      <c r="AE102" s="282">
        <f>AD104+AE99</f>
      </c>
      <c r="AF102" s="282">
        <f>AE104+AF99</f>
      </c>
      <c r="AG102" s="282">
        <f>AF104+AG99</f>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c>
      <c r="Y103" s="355">
        <f>SUM(U103:X103)</f>
      </c>
      <c r="Z103" s="356">
        <f>SUM(Z87,Z96,Z98,Z100)</f>
      </c>
      <c r="AA103" s="356">
        <f>SUM(AA87,AA96,AA98,AA100)</f>
      </c>
      <c r="AB103" s="356">
        <f>SUM(AB87,AB96,AB98,AB100)</f>
      </c>
      <c r="AC103" s="356">
        <f>SUM(AC87,AC96,AC98,AC100)</f>
      </c>
      <c r="AD103" s="355">
        <f>SUM(Z103:AC103)</f>
      </c>
      <c r="AE103" s="355">
        <f>SUM(AE87,AE96,AE98,AE100)</f>
      </c>
      <c r="AF103" s="355">
        <f>SUM(AF87,AF96,AF98,AF100)</f>
      </c>
      <c r="AG103" s="355">
        <f>SUM(AG87,AG96,AG98,AG100)</f>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c>
      <c r="Y104" s="282">
        <f>SUM(Y102:Y103)</f>
      </c>
      <c r="Z104" s="281">
        <f>SUM(Z102:Z103)</f>
      </c>
      <c r="AA104" s="281">
        <f>SUM(AA102:AA103)</f>
      </c>
      <c r="AB104" s="281">
        <f>SUM(AB102:AB103)</f>
      </c>
      <c r="AC104" s="281">
        <f>SUM(AC102:AC103)</f>
      </c>
      <c r="AD104" s="282">
        <f>SUM(AD102:AD103)</f>
      </c>
      <c r="AE104" s="282">
        <f>SUM(AE102:AE103)</f>
      </c>
      <c r="AF104" s="282">
        <f>SUM(AF102:AF103)</f>
      </c>
      <c r="AG104" s="282">
        <f>SUM(AG102:AG103)</f>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F45</f>
        <v>988</v>
      </c>
      <c r="G108" s="384">
        <f>G45</f>
        <v>1521</v>
      </c>
      <c r="H108" s="384">
        <f>H45</f>
        <v>629</v>
      </c>
      <c r="I108" s="384">
        <f>I45</f>
        <v>-824</v>
      </c>
      <c r="J108" s="162">
        <f>J45</f>
        <v>2314</v>
      </c>
      <c r="K108" s="384">
        <f>K45</f>
        <v>1046</v>
      </c>
      <c r="L108" s="384">
        <f>L45</f>
        <v>1676</v>
      </c>
      <c r="M108" s="384">
        <f>M45</f>
        <v>1049</v>
      </c>
      <c r="N108" s="384">
        <f>N45</f>
        <v>510</v>
      </c>
      <c r="O108" s="162">
        <f>O45</f>
        <v>4281</v>
      </c>
      <c r="P108" s="384">
        <f>P45</f>
        <v>1337</v>
      </c>
      <c r="Q108" s="384">
        <f>Q45</f>
        <v>2828</v>
      </c>
      <c r="R108" s="384">
        <f>R45</f>
        <v>692</v>
      </c>
      <c r="S108" s="384">
        <f>S45</f>
        <v>978</v>
      </c>
      <c r="T108" s="162">
        <f>T45</f>
        <v>5835</v>
      </c>
      <c r="U108" s="384">
        <f>U45</f>
        <v>2321</v>
      </c>
      <c r="V108" s="384">
        <f>V45</f>
        <v>3018</v>
      </c>
      <c r="W108" s="384">
        <f>W45</f>
        <v>1896</v>
      </c>
      <c r="X108" s="359">
        <f>X45</f>
      </c>
      <c r="Y108" s="162">
        <f>Y45</f>
      </c>
      <c r="Z108" s="359">
        <f>Z45</f>
      </c>
      <c r="AA108" s="359">
        <f>AA45</f>
      </c>
      <c r="AB108" s="359">
        <f>AB45</f>
      </c>
      <c r="AC108" s="359">
        <f>AC45</f>
      </c>
      <c r="AD108" s="162">
        <f>AD45</f>
      </c>
      <c r="AE108" s="162">
        <f>AE45</f>
      </c>
      <c r="AF108" s="162">
        <f>AF45</f>
      </c>
      <c r="AG108" s="162">
        <f>AG45</f>
      </c>
      <c r="AH108" s="16"/>
      <c r="AI108" s="16"/>
      <c r="AJ108" s="16"/>
      <c r="AK108" s="16"/>
    </row>
    <row r="109" ht="13.5" customHeight="1" spans="1:37" x14ac:dyDescent="0.25">
      <c r="A109" s="264"/>
      <c r="B109" s="16"/>
      <c r="C109" s="16" t="s">
        <v>273</v>
      </c>
      <c r="D109" s="16"/>
      <c r="E109" s="16"/>
      <c r="F109" s="384">
        <f t="shared" ref="F109:I109" si="126">-F194+-F208</f>
        <v>360</v>
      </c>
      <c r="G109" s="384">
        <f>-G194+-G208</f>
        <v>345</v>
      </c>
      <c r="H109" s="384">
        <f>-H194+-H208</f>
        <v>433</v>
      </c>
      <c r="I109" s="384">
        <f>-I194+-I208</f>
        <v>339</v>
      </c>
      <c r="J109" s="162">
        <f t="shared" ref="J109:J111" si="127">SUM(F109:I109)</f>
        <v>1477</v>
      </c>
      <c r="K109" s="384">
        <f t="shared" ref="K109:N109" si="128">-K194+-K208</f>
        <v>302</v>
      </c>
      <c r="L109" s="384">
        <f>-L194+-L208</f>
        <v>311</v>
      </c>
      <c r="M109" s="384">
        <f>-M194+-M208</f>
        <v>310</v>
      </c>
      <c r="N109" s="384">
        <f>-N194+-N208</f>
        <v>339</v>
      </c>
      <c r="O109" s="162">
        <f t="shared" ref="O109:O111" si="129">SUM(K109:N109)</f>
        <v>1262</v>
      </c>
      <c r="P109" s="384">
        <f t="shared" ref="P109:S109" si="130">-P194+-P208</f>
        <v>326</v>
      </c>
      <c r="Q109" s="384">
        <f>-Q194+-Q208</f>
        <v>327</v>
      </c>
      <c r="R109" s="384">
        <f>-R194+-R208</f>
        <v>355</v>
      </c>
      <c r="S109" s="384">
        <f>-S194+-S208</f>
        <v>390</v>
      </c>
      <c r="T109" s="162">
        <f t="shared" ref="T109:T111" si="131">SUM(P109:S109)</f>
        <v>1398</v>
      </c>
      <c r="U109" s="384">
        <f t="shared" ref="U109:X109" si="132">-U194+-U208</f>
        <v>391</v>
      </c>
      <c r="V109" s="384">
        <f>-V194+-V208</f>
        <v>409</v>
      </c>
      <c r="W109" s="384">
        <f>-W194+-W208</f>
        <v>425</v>
      </c>
      <c r="X109" s="359">
        <f>-X194+-X208</f>
        <v>331.18750000000006</v>
      </c>
      <c r="Y109" s="162">
        <f t="shared" ref="Y109:Y111" si="133">SUM(U109:X109)</f>
        <v>1556.1875</v>
      </c>
      <c r="Z109" s="359">
        <f t="shared" ref="Z109:AC109" si="134">-Z194+-Z208</f>
        <v>331.86891850000006</v>
      </c>
      <c r="AA109" s="359">
        <f>-AA194+-AA208</f>
        <v>336.85146518625004</v>
      </c>
      <c r="AB109" s="359">
        <f>-AB194+-AB208</f>
        <v>342.23237867969067</v>
      </c>
      <c r="AC109" s="359">
        <f>-AC194+-AC208</f>
        <v>343.91086566405204</v>
      </c>
      <c r="AD109" s="162">
        <f t="shared" ref="AD109:AD111" si="135">SUM(Z109:AC109)</f>
        <v>1354.863628029993</v>
      </c>
      <c r="AE109" s="162">
        <f t="shared" ref="AE109:AG109" si="136">-AE194+-AE208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37">F178</f>
        <v>0</v>
      </c>
      <c r="G110" s="384">
        <f>G178</f>
        <v>-199</v>
      </c>
      <c r="H110" s="384">
        <f>H178</f>
        <v>181</v>
      </c>
      <c r="I110" s="384">
        <f>I178</f>
        <v>1200</v>
      </c>
      <c r="J110" s="162">
        <f>SUM(F110:I110)</f>
        <v>1182</v>
      </c>
      <c r="K110" s="384">
        <f t="shared" ref="K110:N110" si="138">K178</f>
        <v>741</v>
      </c>
      <c r="L110" s="384">
        <f>L178</f>
        <v>-690</v>
      </c>
      <c r="M110" s="384">
        <f>M178</f>
        <v>-663</v>
      </c>
      <c r="N110" s="384">
        <f>N178</f>
        <v>-626</v>
      </c>
      <c r="O110" s="162">
        <f>SUM(K110:N110)</f>
        <v>-1238</v>
      </c>
      <c r="P110" s="384">
        <f t="shared" ref="P110:S110" si="139">P178</f>
        <v>2078</v>
      </c>
      <c r="Q110" s="384">
        <f>Q178</f>
        <v>2527</v>
      </c>
      <c r="R110" s="384">
        <f>R178</f>
        <v>-2038</v>
      </c>
      <c r="S110" s="384">
        <f>S178</f>
        <v>-2356</v>
      </c>
      <c r="T110" s="162">
        <f>SUM(P110:S110)</f>
        <v>211</v>
      </c>
      <c r="U110" s="384">
        <f t="shared" ref="U110:X110" si="140">U178</f>
        <v>891</v>
      </c>
      <c r="V110" s="384">
        <f>V178</f>
        <v>-893</v>
      </c>
      <c r="W110" s="384">
        <f>W178</f>
        <v>-40</v>
      </c>
      <c r="X110" s="359">
        <f>X178</f>
        <v>-1855.091793478261</v>
      </c>
      <c r="Y110" s="162">
        <f>SUM(U110:X110)</f>
        <v>-1897.091793478261</v>
      </c>
      <c r="Z110" s="359">
        <f t="shared" ref="Z110:AC110" si="141">Z178</f>
        <v>-1777.3159203678952</v>
      </c>
      <c r="AA110" s="359">
        <f>AA178</f>
        <v>177.7483814153893</v>
      </c>
      <c r="AB110" s="359">
        <f>AB178</f>
        <v>916.7916052488508</v>
      </c>
      <c r="AC110" s="359">
        <f>AC178</f>
        <v>-168.43685088664824</v>
      </c>
      <c r="AD110" s="162">
        <f>SUM(Z110:AC110)</f>
        <v>-851.2127845903033</v>
      </c>
      <c r="AE110" s="162">
        <f t="shared" ref="AE110:AG110" si="142">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43">-F193</f>
        <v>-224</v>
      </c>
      <c r="G111" s="372">
        <f>-G193</f>
        <v>-319</v>
      </c>
      <c r="H111" s="372">
        <f>-H193</f>
        <v>-303</v>
      </c>
      <c r="I111" s="372">
        <f>-I193</f>
        <v>-328</v>
      </c>
      <c r="J111" s="355">
        <f>SUM(F111:I111)</f>
        <v>-1174</v>
      </c>
      <c r="K111" s="372">
        <f t="shared" ref="K111:N111" si="144">-K193</f>
        <v>-205</v>
      </c>
      <c r="L111" s="372">
        <f>-L193</f>
        <v>-321</v>
      </c>
      <c r="M111" s="372">
        <f>-M193</f>
        <v>-401</v>
      </c>
      <c r="N111" s="372">
        <f>-N193</f>
        <v>-557</v>
      </c>
      <c r="O111" s="355">
        <f>SUM(K111:N111)</f>
        <v>-1484</v>
      </c>
      <c r="P111" s="372">
        <f t="shared" ref="P111:S111" si="145">-P193</f>
        <v>-328</v>
      </c>
      <c r="Q111" s="372">
        <f>-Q193</f>
        <v>-382</v>
      </c>
      <c r="R111" s="372">
        <f>-R193</f>
        <v>-462</v>
      </c>
      <c r="S111" s="372">
        <f>-S193</f>
        <v>-557</v>
      </c>
      <c r="T111" s="355">
        <f>SUM(P111:S111)</f>
        <v>-1729</v>
      </c>
      <c r="U111" s="372">
        <f t="shared" ref="U111:X111" si="146">-U193</f>
        <v>-461</v>
      </c>
      <c r="V111" s="372">
        <f>-V193</f>
        <v>-385</v>
      </c>
      <c r="W111" s="372">
        <f>-W193</f>
        <v>-410</v>
      </c>
      <c r="X111" s="356">
        <f>-X193</f>
        <v>-370.1257</v>
      </c>
      <c r="Y111" s="355">
        <f>SUM(U111:X111)</f>
        <v>-1626.1257</v>
      </c>
      <c r="Z111" s="356">
        <f t="shared" ref="Z111:AC111" si="147">-Z193</f>
        <v>-616.585872</v>
      </c>
      <c r="AA111" s="356">
        <f>-AA193</f>
        <v>-644.3322362399999</v>
      </c>
      <c r="AB111" s="356">
        <f>-AB193</f>
        <v>-438.14592064320004</v>
      </c>
      <c r="AC111" s="356">
        <f>-AC193</f>
        <v>-416.23862461104</v>
      </c>
      <c r="AD111" s="355">
        <f>SUM(Z111:AC111)</f>
        <v>-2115.30265349424</v>
      </c>
      <c r="AE111" s="355">
        <f t="shared" ref="AE111:AG111" si="148">-AE193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49">SUM(F108:F111)</f>
        <v>1124</v>
      </c>
      <c r="G112" s="353">
        <f>SUM(G108:G111)</f>
        <v>1348</v>
      </c>
      <c r="H112" s="353">
        <f>SUM(H108:H111)</f>
        <v>940</v>
      </c>
      <c r="I112" s="353">
        <f>SUM(I108:I111)</f>
        <v>387</v>
      </c>
      <c r="J112" s="282">
        <f>SUM(J108:J111)</f>
        <v>3799</v>
      </c>
      <c r="K112" s="353">
        <f>SUM(K108:K111)</f>
        <v>1884</v>
      </c>
      <c r="L112" s="353">
        <f>SUM(L108:L111)</f>
        <v>976</v>
      </c>
      <c r="M112" s="353">
        <f>SUM(M108:M111)</f>
        <v>295</v>
      </c>
      <c r="N112" s="353">
        <f>SUM(N108:N111)</f>
        <v>-334</v>
      </c>
      <c r="O112" s="282">
        <f>SUM(O108:O111)</f>
        <v>2821</v>
      </c>
      <c r="P112" s="353">
        <f>SUM(P108:P111)</f>
        <v>3413</v>
      </c>
      <c r="Q112" s="353">
        <f>SUM(Q108:Q111)</f>
        <v>5300</v>
      </c>
      <c r="R112" s="353">
        <f>SUM(R108:R111)</f>
        <v>-1453</v>
      </c>
      <c r="S112" s="353">
        <f>SUM(S108:S111)</f>
        <v>-1545</v>
      </c>
      <c r="T112" s="282">
        <f>SUM(T108:T111)</f>
        <v>5715</v>
      </c>
      <c r="U112" s="353">
        <f>SUM(U108:U111)</f>
        <v>3142</v>
      </c>
      <c r="V112" s="353">
        <f>SUM(V108:V111)</f>
        <v>2149</v>
      </c>
      <c r="W112" s="353">
        <f>SUM(W108:W111)</f>
        <v>1871</v>
      </c>
      <c r="X112" s="281">
        <f>SUM(X108:X111)</f>
      </c>
      <c r="Y112" s="282">
        <f>SUM(Y108:Y111)</f>
      </c>
      <c r="Z112" s="281">
        <f>SUM(Z108:Z111)</f>
      </c>
      <c r="AA112" s="281">
        <f>SUM(AA108:AA111)</f>
      </c>
      <c r="AB112" s="281">
        <f>SUM(AB108:AB111)</f>
      </c>
      <c r="AC112" s="281">
        <f>SUM(AC108:AC111)</f>
      </c>
      <c r="AD112" s="282">
        <f>SUM(AD108:AD111)</f>
      </c>
      <c r="AE112" s="282">
        <f>SUM(AE108:AE111)</f>
      </c>
      <c r="AF112" s="282">
        <f>SUM(AF108:AF111)</f>
      </c>
      <c r="AG112" s="282">
        <f>SUM(AG108:AG111)</f>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F112/F28</f>
        <v>0.06474654377880185</v>
      </c>
      <c r="G114" s="397">
        <f>G112/G28</f>
        <v>0.06453466104940636</v>
      </c>
      <c r="H114" s="397">
        <f>H112/H28</f>
        <v>0.05397645707723227</v>
      </c>
      <c r="I114" s="397">
        <f>I112/I28</f>
        <v>0.024734756487281094</v>
      </c>
      <c r="J114" s="398">
        <f>J112/J28</f>
        <v>0.05327518265576575</v>
      </c>
      <c r="K114" s="397">
        <f>K112/K28</f>
        <v>0.10619469026548672</v>
      </c>
      <c r="L114" s="397">
        <f>L112/L28</f>
        <v>0.04649390243902439</v>
      </c>
      <c r="M114" s="397">
        <f>M112/M28</f>
        <v>0.016965723487462617</v>
      </c>
      <c r="N114" s="397">
        <f>N112/N28</f>
        <v>-0.02083983278218007</v>
      </c>
      <c r="O114" s="398">
        <f>O112/O28</f>
        <v>0.03910018295725453</v>
      </c>
      <c r="P114" s="397">
        <f>P112/P28</f>
        <v>0.17346886912325285</v>
      </c>
      <c r="Q114" s="397">
        <f>Q112/Q28</f>
        <v>0.19412497252948502</v>
      </c>
      <c r="R114" s="397">
        <f>R112/R28</f>
        <v>-0.0651306647541351</v>
      </c>
      <c r="S114" s="397">
        <f>S112/S28</f>
        <v>-0.07606715572842303</v>
      </c>
      <c r="T114" s="398">
        <f>T112/T28</f>
        <v>0.0637856178220253</v>
      </c>
      <c r="U114" s="397">
        <f>U112/U28</f>
        <v>0.1286544918516092</v>
      </c>
      <c r="V114" s="397">
        <f>V112/V28</f>
        <v>0.07794704388828437</v>
      </c>
      <c r="W114" s="397">
        <f>W112/W28</f>
        <v>0.08163888646478751</v>
      </c>
      <c r="X114" s="399">
        <f>X112/X28</f>
      </c>
      <c r="Y114" s="398">
        <f>Y112/Y28</f>
      </c>
      <c r="Z114" s="399">
        <f>Z112/Z28</f>
      </c>
      <c r="AA114" s="399">
        <f>AA112/AA28</f>
      </c>
      <c r="AB114" s="399">
        <f>AB112/AB28</f>
      </c>
      <c r="AC114" s="399">
        <f>AC112/AC28</f>
      </c>
      <c r="AD114" s="398">
        <f>AD112/AD28</f>
      </c>
      <c r="AE114" s="398">
        <f>AE112/AE28</f>
      </c>
      <c r="AF114" s="398">
        <f>AF112/AF28</f>
      </c>
      <c r="AG114" s="398">
        <f>AG112/AG28</f>
      </c>
      <c r="AH114" s="16"/>
      <c r="AI114" s="16"/>
      <c r="AJ114" s="16"/>
      <c r="AK114" s="16"/>
    </row>
    <row r="115" ht="13.5" customHeight="1" spans="1:37" x14ac:dyDescent="0.25">
      <c r="A115" s="264"/>
      <c r="B115" s="16"/>
      <c r="C115" s="16" t="s">
        <v>327</v>
      </c>
      <c r="D115" s="16"/>
      <c r="E115" s="16"/>
      <c r="F115" s="370">
        <f t="shared" ref="F115:AG115" si="151">F112/F282</f>
        <v>1.3624242424242423</v>
      </c>
      <c r="G115" s="370">
        <f>G112/G282</f>
        <v>1.6580565805658056</v>
      </c>
      <c r="H115" s="370">
        <f>H112/H282</f>
        <v>1.1662531017369726</v>
      </c>
      <c r="I115" s="370">
        <f>I112/I282</f>
        <v>0.48314606741573035</v>
      </c>
      <c r="J115" s="127">
        <f>J112/J282</f>
        <v>4.742821473158552</v>
      </c>
      <c r="K115" s="370">
        <f>K112/K282</f>
        <v>2.2836363636363637</v>
      </c>
      <c r="L115" s="370">
        <f>L112/L282</f>
        <v>1.2004920049200491</v>
      </c>
      <c r="M115" s="370">
        <f>M112/M282</f>
        <v>0.36600496277915634</v>
      </c>
      <c r="N115" s="370">
        <f>N112/N282</f>
        <v>-0.41697877652933835</v>
      </c>
      <c r="O115" s="127">
        <f>O112/O282</f>
        <v>3.521847690387016</v>
      </c>
      <c r="P115" s="370">
        <f>P112/P282</f>
        <v>4.520529801324503</v>
      </c>
      <c r="Q115" s="370">
        <f>Q112/Q282</f>
        <v>7.047872340425532</v>
      </c>
      <c r="R115" s="370">
        <f>R112/R282</f>
        <v>-1.9321808510638299</v>
      </c>
      <c r="S115" s="370">
        <f>S112/S282</f>
        <v>-2.0655080213903743</v>
      </c>
      <c r="T115" s="127">
        <f>T112/T282</f>
        <v>7.640374331550802</v>
      </c>
      <c r="U115" s="370">
        <f>U112/U282</f>
        <v>4.376044568245125</v>
      </c>
      <c r="V115" s="370">
        <f>V112/V282</f>
        <v>3.0482269503546098</v>
      </c>
      <c r="W115" s="370">
        <f>W112/W282</f>
        <v>2.7115942028985507</v>
      </c>
      <c r="X115" s="371">
        <f>X112/X282</f>
      </c>
      <c r="Y115" s="127">
        <f>Y112/Y282</f>
      </c>
      <c r="Z115" s="371">
        <f>Z112/Z282</f>
      </c>
      <c r="AA115" s="371">
        <f>AA112/AA282</f>
      </c>
      <c r="AB115" s="371">
        <f>AB112/AB282</f>
      </c>
      <c r="AC115" s="371">
        <f>AC112/AC282</f>
      </c>
      <c r="AD115" s="127">
        <f>AD112/AD282</f>
      </c>
      <c r="AE115" s="127">
        <f>AE112/AE282</f>
      </c>
      <c r="AF115" s="127">
        <f>AF112/AF282</f>
      </c>
      <c r="AG115" s="127">
        <f>AG112/AG282</f>
      </c>
      <c r="AH115" s="16"/>
      <c r="AI115" s="16"/>
      <c r="AJ115" s="16"/>
      <c r="AK115" s="16"/>
    </row>
    <row r="116" ht="13.5" customHeight="1" spans="1:37" x14ac:dyDescent="0.25">
      <c r="A116" s="264"/>
      <c r="B116" s="16"/>
      <c r="C116" s="16" t="s">
        <v>328</v>
      </c>
      <c r="D116" s="16"/>
      <c r="E116" s="16"/>
      <c r="F116" s="397">
        <f t="shared" ref="F116:I116" si="152">F115*4/F239</f>
        <v>0.063383309719667</v>
      </c>
      <c r="G116" s="397">
        <f>G115*4/G239</f>
        <v>0.07224647409872792</v>
      </c>
      <c r="H116" s="397">
        <f>H115*4/H239</f>
        <v>0.04876149688458127</v>
      </c>
      <c r="I116" s="397">
        <f>I115*4/I239</f>
        <v>0.017368421584101023</v>
      </c>
      <c r="J116" s="398">
        <f>J115/J239</f>
        <v>0.05044991069468142</v>
      </c>
      <c r="K116" s="397">
        <f t="shared" ref="K116:N116" si="153">K115*4/K239</f>
        <v>0.08924812363991652</v>
      </c>
      <c r="L116" s="397">
        <f>L115*4/L239</f>
        <v>0.04680736933112581</v>
      </c>
      <c r="M116" s="397">
        <f>M115*4/M239</f>
        <v>0.01350447238369731</v>
      </c>
      <c r="N116" s="397">
        <f>N115*4/N239</f>
        <v>-0.015829126944266424</v>
      </c>
      <c r="O116" s="398">
        <f>O115/O239</f>
        <v>0.03382972258008031</v>
      </c>
      <c r="P116" s="397">
        <f t="shared" ref="P116:S116" si="154">P115*4/P239</f>
        <v>0.18305445642132023</v>
      </c>
      <c r="Q116" s="397">
        <f>Q115*4/Q239</f>
        <v>0.2853967337690031</v>
      </c>
      <c r="R116" s="397">
        <f>R115*4/R239</f>
        <v>-0.04566674989348739</v>
      </c>
      <c r="S116" s="397">
        <f>S115*4/S239</f>
        <v>-0.03943339460076248</v>
      </c>
      <c r="T116" s="398">
        <f>T115/T239</f>
        <v>0.04539176007826851</v>
      </c>
      <c r="U116" s="397">
        <f t="shared" ref="U116:X116" si="155">U115*4/U239</f>
        <v>0.09607123091646817</v>
      </c>
      <c r="V116" s="397">
        <f>V115*4/V239</f>
        <v>0.06386508001383517</v>
      </c>
      <c r="W116" s="397">
        <f>W115*4/W239</f>
        <v>0.052559610830215334</v>
      </c>
      <c r="X116" s="399">
        <f>X115*4/X239</f>
      </c>
      <c r="Y116" s="398">
        <f>Y115/Y239</f>
      </c>
      <c r="Z116" s="399">
        <f>Z115*4/Z239</f>
      </c>
      <c r="AA116" s="399">
        <f>AA115*4/AA239</f>
      </c>
      <c r="AB116" s="399">
        <f>AB115*4/AB239</f>
      </c>
      <c r="AC116" s="399">
        <f>AC115*4/AC239</f>
      </c>
      <c r="AD116" s="398">
        <f>AD115/AD239</f>
      </c>
      <c r="AE116" s="398">
        <f>AE115/AE239</f>
      </c>
      <c r="AF116" s="398">
        <f>AF115/AF239</f>
      </c>
      <c r="AG116" s="398">
        <f>AG115/AG239</f>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t="str">
        <f>F$25</f>
        <v>1Q23</v>
      </c>
      <c r="G118" s="63" t="str">
        <f t="shared" ref="G118:AG118" si="156">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1565+205</f>
        <v>1770</v>
      </c>
      <c r="G120" s="392">
        <f>2251+391</f>
        <v>2642</v>
      </c>
      <c r="H120" s="392">
        <f>1668+208</f>
        <v>1876</v>
      </c>
      <c r="I120" s="392">
        <f>511+218</f>
        <v>729</v>
      </c>
      <c r="J120" s="282">
        <f t="shared" ref="J120:J124" si="157">I120</f>
        <v>729</v>
      </c>
      <c r="K120" s="392">
        <f>2973+190</f>
        <v>3163</v>
      </c>
      <c r="L120" s="392">
        <f>1796+275</f>
        <v>2071</v>
      </c>
      <c r="M120" s="392">
        <f>794+127</f>
        <v>921</v>
      </c>
      <c r="N120" s="392">
        <f>716+160</f>
        <v>876</v>
      </c>
      <c r="O120" s="282">
        <f t="shared" ref="O120:O124" si="158">N120</f>
        <v>876</v>
      </c>
      <c r="P120" s="392">
        <v>2999</v>
      </c>
      <c r="Q120" s="392">
        <v>2625</v>
      </c>
      <c r="R120" s="392">
        <v>2975</v>
      </c>
      <c r="S120" s="392">
        <v>2883</v>
      </c>
      <c r="T120" s="282">
        <f t="shared" ref="T120:T124" si="159">S120</f>
        <v>5196</v>
      </c>
      <c r="U120" s="392">
        <f>6692+454</f>
        <v>7146</v>
      </c>
      <c r="V120" s="392">
        <f>4835+1420</f>
        <v>6255</v>
      </c>
      <c r="W120" s="392">
        <f>6121+552</f>
        <v>6673</v>
      </c>
      <c r="X120" s="281">
        <f>X104</f>
      </c>
      <c r="Y120" s="282">
        <f>X120</f>
      </c>
      <c r="Z120" s="281">
        <f>Z104</f>
      </c>
      <c r="AA120" s="281">
        <f>AA104</f>
      </c>
      <c r="AB120" s="281">
        <f>AB104</f>
      </c>
      <c r="AC120" s="281">
        <f>AC104</f>
      </c>
      <c r="AD120" s="282">
        <f>AC120</f>
      </c>
      <c r="AE120" s="282">
        <f>AE104</f>
      </c>
      <c r="AF120" s="282">
        <f>AF104</f>
      </c>
      <c r="AG120" s="282">
        <f>AG104</f>
      </c>
      <c r="AH120" s="16"/>
      <c r="AI120" s="16"/>
      <c r="AJ120" s="16"/>
      <c r="AK120" s="16"/>
    </row>
    <row r="121" ht="13.5" customHeight="1" spans="1:37" x14ac:dyDescent="0.25">
      <c r="A121" s="264"/>
      <c r="B121" s="16"/>
      <c r="C121" s="16" t="s">
        <v>331</v>
      </c>
      <c r="D121" s="16"/>
      <c r="E121" s="16"/>
      <c r="F121" s="358">
        <v>2883</v>
      </c>
      <c r="G121" s="358">
        <v>2914</v>
      </c>
      <c r="H121" s="358">
        <v>2897</v>
      </c>
      <c r="I121" s="358">
        <v>2914</v>
      </c>
      <c r="J121" s="162">
        <f>I121</f>
      </c>
      <c r="K121" s="358">
        <v>3148</v>
      </c>
      <c r="L121" s="358">
        <v>2817</v>
      </c>
      <c r="M121" s="358">
        <v>2598</v>
      </c>
      <c r="N121" s="358">
        <v>2536</v>
      </c>
      <c r="O121" s="162">
        <f>N121</f>
      </c>
      <c r="P121" s="358">
        <v>2619</v>
      </c>
      <c r="Q121" s="358">
        <v>2533</v>
      </c>
      <c r="R121" s="358">
        <v>2518</v>
      </c>
      <c r="S121" s="358">
        <v>2565</v>
      </c>
      <c r="T121" s="162">
        <f>S121</f>
      </c>
      <c r="U121" s="358">
        <v>2605</v>
      </c>
      <c r="V121" s="358">
        <v>0</v>
      </c>
      <c r="W121" s="358">
        <v>0</v>
      </c>
      <c r="X121" s="359">
        <f t="shared" ref="X121:X123" si="160">X162</f>
        <v>0</v>
      </c>
      <c r="Y121" s="162">
        <f>X121</f>
      </c>
      <c r="Z121" s="359">
        <f t="shared" ref="Z121:AC121" si="161">Z162</f>
        <v>0</v>
      </c>
      <c r="AA121" s="359">
        <f>AA162</f>
      </c>
      <c r="AB121" s="359">
        <f>AB162</f>
      </c>
      <c r="AC121" s="359">
        <f>AC162</f>
      </c>
      <c r="AD121" s="162">
        <f>AC121</f>
      </c>
      <c r="AE121" s="162">
        <f t="shared" ref="AE121:AG121" si="162">AE162</f>
        <v>0</v>
      </c>
      <c r="AF121" s="162">
        <f>AF162</f>
      </c>
      <c r="AG121" s="162">
        <f>AG162</f>
      </c>
      <c r="AH121" s="16"/>
      <c r="AI121" s="16"/>
      <c r="AJ121" s="16"/>
      <c r="AK121" s="16"/>
    </row>
    <row r="122" ht="13.5" customHeight="1" spans="1:37" x14ac:dyDescent="0.25">
      <c r="A122" s="264"/>
      <c r="B122" s="16"/>
      <c r="C122" s="16" t="s">
        <v>332</v>
      </c>
      <c r="D122" s="16"/>
      <c r="E122" s="16"/>
      <c r="F122" s="358">
        <v>407</v>
      </c>
      <c r="G122" s="358">
        <v>404</v>
      </c>
      <c r="H122" s="358">
        <v>413</v>
      </c>
      <c r="I122" s="358">
        <v>411</v>
      </c>
      <c r="J122" s="162">
        <f>I122</f>
        <v>12561</v>
      </c>
      <c r="K122" s="358">
        <v>395</v>
      </c>
      <c r="L122" s="358">
        <v>382</v>
      </c>
      <c r="M122" s="358">
        <v>356</v>
      </c>
      <c r="N122" s="358">
        <v>346</v>
      </c>
      <c r="O122" s="162">
        <f>N122</f>
        <v>13179</v>
      </c>
      <c r="P122" s="358">
        <v>344</v>
      </c>
      <c r="Q122" s="358">
        <v>338</v>
      </c>
      <c r="R122" s="358">
        <v>346</v>
      </c>
      <c r="S122" s="358">
        <v>348</v>
      </c>
      <c r="T122" s="162">
        <f>S122</f>
        <v>16193</v>
      </c>
      <c r="U122" s="358">
        <v>343</v>
      </c>
      <c r="V122" s="358">
        <v>17322</v>
      </c>
      <c r="W122" s="358">
        <v>16685</v>
      </c>
      <c r="X122" s="359">
        <f>X163</f>
        <v>18529.950326086957</v>
      </c>
      <c r="Y122" s="162">
        <f>X122</f>
        <v>18529.950326086957</v>
      </c>
      <c r="Z122" s="359">
        <f t="shared" ref="Z122:AC122" si="163">Z163</f>
        <v>23065.506292307695</v>
      </c>
      <c r="AA122" s="359">
        <f>AA163</f>
        <v>22014.14833107692</v>
      </c>
      <c r="AB122" s="359">
        <f>AB163</f>
        <v>20954.80490032696</v>
      </c>
      <c r="AC122" s="359">
        <f>AC163</f>
        <v>20718.783200747737</v>
      </c>
      <c r="AD122" s="162">
        <f>AC122</f>
        <v>20718.783200747737</v>
      </c>
      <c r="AE122" s="162">
        <f t="shared" ref="AE122:AG122" si="164">AE163</f>
        <v>21269.509108004873</v>
      </c>
      <c r="AF122" s="162">
        <f>AF163</f>
        <v>21669.70196230183</v>
      </c>
      <c r="AG122" s="162">
        <f>AG163</f>
        <v>22051.69345270706</v>
      </c>
      <c r="AH122" s="16"/>
      <c r="AI122" s="16"/>
      <c r="AJ122" s="16"/>
      <c r="AK122" s="16"/>
    </row>
    <row r="123" ht="13.5" customHeight="1" spans="1:37" x14ac:dyDescent="0.25">
      <c r="A123" s="264"/>
      <c r="B123" s="16"/>
      <c r="C123" s="16" t="s">
        <v>333</v>
      </c>
      <c r="D123" s="16"/>
      <c r="E123" s="16"/>
      <c r="F123" s="354">
        <v>1813</v>
      </c>
      <c r="G123" s="354">
        <v>1743</v>
      </c>
      <c r="H123" s="354">
        <v>1995</v>
      </c>
      <c r="I123" s="354">
        <v>2614</v>
      </c>
      <c r="J123" s="355">
        <f>I123</f>
        <v>938</v>
      </c>
      <c r="K123" s="354">
        <v>1797</v>
      </c>
      <c r="L123" s="354">
        <v>1876</v>
      </c>
      <c r="M123" s="354">
        <v>1711</v>
      </c>
      <c r="N123" s="354">
        <v>1781</v>
      </c>
      <c r="O123" s="355">
        <f>N123</f>
        <v>1263</v>
      </c>
      <c r="P123" s="354">
        <v>1951</v>
      </c>
      <c r="Q123" s="354">
        <v>1802</v>
      </c>
      <c r="R123" s="354">
        <v>1971</v>
      </c>
      <c r="S123" s="354">
        <v>2053</v>
      </c>
      <c r="T123" s="355">
        <f>S123</f>
        <v>937</v>
      </c>
      <c r="U123" s="354">
        <v>2441</v>
      </c>
      <c r="V123" s="354">
        <v>1506</v>
      </c>
      <c r="W123" s="354">
        <v>1491</v>
      </c>
      <c r="X123" s="356">
        <f>X164</f>
      </c>
      <c r="Y123" s="355">
        <f>X123</f>
      </c>
      <c r="Z123" s="356">
        <f t="shared" ref="Z123:AC123" si="165">Z164</f>
        <v>1849.7576159999996</v>
      </c>
      <c r="AA123" s="356">
        <f>AA164</f>
        <v>2108.72368224</v>
      </c>
      <c r="AB123" s="356">
        <f>AB164</f>
        <v>1855.6768403712</v>
      </c>
      <c r="AC123" s="356">
        <f>AC164</f>
        <v>1762.8929983526398</v>
      </c>
      <c r="AD123" s="355">
        <f>AC123</f>
        <v>1762.8929983526398</v>
      </c>
      <c r="AE123" s="355">
        <f t="shared" ref="AE123:AG123" si="166">AE164</f>
        <v>1932.1480399257787</v>
      </c>
      <c r="AF123" s="355">
        <f>AF164</f>
        <v>1970.7910007242942</v>
      </c>
      <c r="AG123" s="355">
        <f>AG164</f>
        <v>2010.2068207387802</v>
      </c>
      <c r="AH123" s="16"/>
      <c r="AI123" s="16"/>
      <c r="AJ123" s="16"/>
      <c r="AK123" s="16"/>
    </row>
    <row r="124" ht="13.5" customHeight="1" spans="1:37" x14ac:dyDescent="0.25">
      <c r="A124" s="264"/>
      <c r="B124" s="16"/>
      <c r="C124" s="139" t="s">
        <v>334</v>
      </c>
      <c r="D124" s="16"/>
      <c r="E124" s="16"/>
      <c r="F124" s="353">
        <f t="shared" ref="F124:I124" si="167">SUM(F120:F123)</f>
        <v>16033</v>
      </c>
      <c r="G124" s="353">
        <f>SUM(G120:G123)</f>
        <v>15483</v>
      </c>
      <c r="H124" s="353">
        <f>SUM(H120:H123)</f>
        <v>15138</v>
      </c>
      <c r="I124" s="353">
        <f>SUM(I120:I123)</f>
        <v>14228</v>
      </c>
      <c r="J124" s="282">
        <f>I124</f>
        <v>14228</v>
      </c>
      <c r="K124" s="353">
        <f t="shared" ref="K124:N124" si="168">SUM(K120:K123)</f>
        <v>19335</v>
      </c>
      <c r="L124" s="353">
        <f>SUM(L120:L123)</f>
        <v>16796</v>
      </c>
      <c r="M124" s="353">
        <f>SUM(M120:M123)</f>
        <v>15662</v>
      </c>
      <c r="N124" s="353">
        <f>SUM(N120:N123)</f>
        <v>15318</v>
      </c>
      <c r="O124" s="282">
        <f>N124</f>
        <v>15318</v>
      </c>
      <c r="P124" s="353">
        <f t="shared" ref="P124:S124" si="169">SUM(P120:P123)</f>
        <v>21926</v>
      </c>
      <c r="Q124" s="353">
        <f>SUM(Q120:Q123)</f>
        <v>27717</v>
      </c>
      <c r="R124" s="353">
        <f>SUM(R120:R123)</f>
        <v>26916</v>
      </c>
      <c r="S124" s="353">
        <f>SUM(S120:S123)</f>
        <v>22326</v>
      </c>
      <c r="T124" s="282">
        <f>S124</f>
        <v>22326</v>
      </c>
      <c r="U124" s="353">
        <f t="shared" ref="U124:X124" si="170">SUM(U120:U123)</f>
        <v>26816</v>
      </c>
      <c r="V124" s="353">
        <f>SUM(V120:V123)</f>
        <v>25083</v>
      </c>
      <c r="W124" s="353">
        <f>SUM(W120:W123)</f>
        <v>24849</v>
      </c>
      <c r="X124" s="281">
        <f>SUM(X120:X123)</f>
      </c>
      <c r="Y124" s="282">
        <f>X124</f>
      </c>
      <c r="Z124" s="281">
        <f>SUM(Z120:Z123)</f>
      </c>
      <c r="AA124" s="281">
        <f>SUM(AA120:AA123)</f>
      </c>
      <c r="AB124" s="281">
        <f>SUM(AB120:AB123)</f>
      </c>
      <c r="AC124" s="281">
        <f>SUM(AC120:AC123)</f>
      </c>
      <c r="AD124" s="282">
        <f>AC124</f>
      </c>
      <c r="AE124" s="282">
        <f>SUM(AE120:AE123)</f>
      </c>
      <c r="AF124" s="282">
        <f>SUM(AF120:AF123)</f>
      </c>
      <c r="AG124" s="282">
        <f>SUM(AG120:AG123)</f>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6319</v>
      </c>
      <c r="G126" s="392">
        <v>6268</v>
      </c>
      <c r="H126" s="392">
        <v>6260</v>
      </c>
      <c r="I126" s="392">
        <v>6236</v>
      </c>
      <c r="J126" s="282">
        <f t="shared" ref="J126:J130" si="171">I126</f>
        <v>18432</v>
      </c>
      <c r="K126" s="392">
        <v>5855</v>
      </c>
      <c r="L126" s="392">
        <v>5857</v>
      </c>
      <c r="M126" s="392">
        <v>5552</v>
      </c>
      <c r="N126" s="392">
        <v>6049</v>
      </c>
      <c r="O126" s="282">
        <f t="shared" ref="O126:O130" si="172">N126</f>
        <v>18669</v>
      </c>
      <c r="P126" s="392">
        <v>5991</v>
      </c>
      <c r="Q126" s="392">
        <v>6024</v>
      </c>
      <c r="R126" s="392">
        <v>6091</v>
      </c>
      <c r="S126" s="392">
        <v>6315</v>
      </c>
      <c r="T126" s="282">
        <f t="shared" ref="T126:T130" si="173">S126</f>
        <v>22987</v>
      </c>
      <c r="U126" s="392">
        <v>6251</v>
      </c>
      <c r="V126" s="392">
        <v>19031</v>
      </c>
      <c r="W126" s="392">
        <v>18925</v>
      </c>
      <c r="X126" s="281">
        <f>X196</f>
        <v>18963.9382</v>
      </c>
      <c r="Y126" s="282">
        <f t="shared" ref="Y126:Y130" si="174">X126</f>
        <v>18963.9382</v>
      </c>
      <c r="Z126" s="281">
        <f t="shared" ref="Z126:AC126" si="175">Z196</f>
        <v>19248.6551535</v>
      </c>
      <c r="AA126" s="281">
        <f>AA196</f>
        <v>19556.13592455375</v>
      </c>
      <c r="AB126" s="281">
        <f>AB196</f>
        <v>19652.04946651726</v>
      </c>
      <c r="AC126" s="281">
        <f>AC196</f>
        <v>19724.377225464246</v>
      </c>
      <c r="AD126" s="282">
        <f t="shared" ref="AD126:AD130" si="176">AC126</f>
        <v>19724.377225464246</v>
      </c>
      <c r="AE126" s="282">
        <f t="shared" ref="AE126:AG126" si="177">AE196</f>
        <v>20451.053220703907</v>
      </c>
      <c r="AF126" s="282">
        <f>AF196</f>
        <v>21168.345167395775</v>
      </c>
      <c r="AG126" s="282">
        <f>AG196</f>
        <v>21989.46560620519</v>
      </c>
      <c r="AH126" s="16"/>
      <c r="AI126" s="16"/>
      <c r="AJ126" s="16"/>
      <c r="AK126" s="16"/>
    </row>
    <row r="127" ht="13.5" customHeight="1" spans="1:37" x14ac:dyDescent="0.25">
      <c r="A127" s="264"/>
      <c r="B127" s="16"/>
      <c r="C127" s="16" t="s">
        <v>336</v>
      </c>
      <c r="D127" s="16"/>
      <c r="E127" s="16"/>
      <c r="F127" s="358">
        <v>716</v>
      </c>
      <c r="G127" s="358">
        <v>690</v>
      </c>
      <c r="H127" s="358">
        <v>682</v>
      </c>
      <c r="I127" s="358">
        <v>650</v>
      </c>
      <c r="J127" s="162">
        <f>I127</f>
      </c>
      <c r="K127" s="358">
        <v>678</v>
      </c>
      <c r="L127" s="358">
        <v>639</v>
      </c>
      <c r="M127" s="358">
        <v>601</v>
      </c>
      <c r="N127" s="358">
        <v>518</v>
      </c>
      <c r="O127" s="162">
        <f>N127</f>
      </c>
      <c r="P127" s="358">
        <v>518</v>
      </c>
      <c r="Q127" s="358">
        <v>490</v>
      </c>
      <c r="R127" s="358">
        <v>462</v>
      </c>
      <c r="S127" s="358">
        <v>466</v>
      </c>
      <c r="T127" s="162">
        <f>S127</f>
      </c>
      <c r="U127" s="358">
        <v>432</v>
      </c>
      <c r="V127" s="358">
        <v>0</v>
      </c>
      <c r="W127" s="358">
        <v>0</v>
      </c>
      <c r="X127" s="359">
        <f>X210</f>
        <v>0</v>
      </c>
      <c r="Y127" s="162">
        <f>X127</f>
      </c>
      <c r="Z127" s="359">
        <f t="shared" ref="Z127:AC127" si="178">Z210</f>
        <v>0</v>
      </c>
      <c r="AA127" s="359">
        <f>AA210</f>
      </c>
      <c r="AB127" s="359">
        <f>AB210</f>
      </c>
      <c r="AC127" s="359">
        <f>AC210</f>
      </c>
      <c r="AD127" s="162">
        <f>AC127</f>
      </c>
      <c r="AE127" s="162">
        <f t="shared" ref="AE127:AG127" si="179">AE210</f>
        <v>0</v>
      </c>
      <c r="AF127" s="162">
        <f>AF210</f>
      </c>
      <c r="AG127" s="162">
        <f>AG210</f>
      </c>
      <c r="AH127" s="16"/>
      <c r="AI127" s="16"/>
      <c r="AJ127" s="16"/>
      <c r="AK127" s="16"/>
    </row>
    <row r="128" ht="13.5" customHeight="1" spans="1:37" x14ac:dyDescent="0.25">
      <c r="A128" s="264"/>
      <c r="B128" s="16"/>
      <c r="C128" s="16" t="s">
        <v>337</v>
      </c>
      <c r="D128" s="16"/>
      <c r="E128" s="16"/>
      <c r="F128" s="358">
        <v>10258</v>
      </c>
      <c r="G128" s="358">
        <v>10350</v>
      </c>
      <c r="H128" s="358">
        <v>10415</v>
      </c>
      <c r="I128" s="358">
        <v>10307</v>
      </c>
      <c r="J128" s="162">
        <f>I128</f>
        <v>303</v>
      </c>
      <c r="K128" s="358">
        <v>10568</v>
      </c>
      <c r="L128" s="358">
        <v>10799</v>
      </c>
      <c r="M128" s="358">
        <v>10588</v>
      </c>
      <c r="N128" s="358">
        <v>10691</v>
      </c>
      <c r="O128" s="162">
        <f>N128</f>
        <v>303</v>
      </c>
      <c r="P128" s="358">
        <v>10786</v>
      </c>
      <c r="Q128" s="358">
        <v>10935</v>
      </c>
      <c r="R128" s="358">
        <v>11158</v>
      </c>
      <c r="S128" s="358">
        <v>11198</v>
      </c>
      <c r="T128" s="162">
        <f>S128</f>
        <v>311</v>
      </c>
      <c r="U128" s="358">
        <v>11387</v>
      </c>
      <c r="V128" s="358">
        <v>0</v>
      </c>
      <c r="W128" s="358">
        <v>0</v>
      </c>
      <c r="X128" s="359">
        <f t="shared" ref="X128:X129" si="180">X218</f>
        <v>0</v>
      </c>
      <c r="Y128" s="162">
        <f>X128</f>
      </c>
      <c r="Z128" s="359">
        <f t="shared" ref="Z128:AC128" si="181">Z218</f>
        <v>0</v>
      </c>
      <c r="AA128" s="359">
        <f>AA218</f>
      </c>
      <c r="AB128" s="359">
        <f>AB218</f>
      </c>
      <c r="AC128" s="359">
        <f>AC218</f>
      </c>
      <c r="AD128" s="162">
        <f>AC128</f>
      </c>
      <c r="AE128" s="162">
        <f t="shared" ref="AE128:AG128" si="182">AE218</f>
        <v>0</v>
      </c>
      <c r="AF128" s="162">
        <f>AF218</f>
      </c>
      <c r="AG128" s="162">
        <f>AG218</f>
      </c>
      <c r="AH128" s="16"/>
      <c r="AI128" s="16"/>
      <c r="AJ128" s="16"/>
      <c r="AK128" s="16"/>
    </row>
    <row r="129" ht="13.5" customHeight="1" spans="1:37" x14ac:dyDescent="0.25">
      <c r="A129" s="264"/>
      <c r="B129" s="16"/>
      <c r="C129" s="16" t="s">
        <v>338</v>
      </c>
      <c r="D129" s="16"/>
      <c r="E129" s="16"/>
      <c r="F129" s="354">
        <v>2901</v>
      </c>
      <c r="G129" s="354">
        <v>2146</v>
      </c>
      <c r="H129" s="354">
        <v>3052</v>
      </c>
      <c r="I129" s="354">
        <v>4451</v>
      </c>
      <c r="J129" s="355">
        <f>I129</f>
        <v>1545</v>
      </c>
      <c r="K129" s="354">
        <v>3303</v>
      </c>
      <c r="L129" s="354">
        <v>4824</v>
      </c>
      <c r="M129" s="354">
        <v>7045</v>
      </c>
      <c r="N129" s="354">
        <v>6139</v>
      </c>
      <c r="O129" s="355">
        <f>N129</f>
        <v>5181</v>
      </c>
      <c r="P129" s="354">
        <v>4029</v>
      </c>
      <c r="Q129" s="354">
        <v>3952</v>
      </c>
      <c r="R129" s="354">
        <v>3897</v>
      </c>
      <c r="S129" s="354">
        <v>3849</v>
      </c>
      <c r="T129" s="355">
        <f>S129</f>
        <v>1111</v>
      </c>
      <c r="U129" s="354">
        <v>598</v>
      </c>
      <c r="V129" s="354">
        <f>3820+225+221+1024</f>
        <v>5290</v>
      </c>
      <c r="W129" s="354">
        <f>4161+213+220+1032</f>
        <v>5626</v>
      </c>
      <c r="X129" s="356">
        <f>X219</f>
        <v>5738.52</v>
      </c>
      <c r="Y129" s="355">
        <f>X129</f>
        <v>5738.52</v>
      </c>
      <c r="Z129" s="356">
        <f t="shared" ref="Z129:AC129" si="183">Z219</f>
        <v>5853.290400000001</v>
      </c>
      <c r="AA129" s="356">
        <f>AA219</f>
        <v>5970.356208000001</v>
      </c>
      <c r="AB129" s="356">
        <f>AB219</f>
        <v>6089.7633321600015</v>
      </c>
      <c r="AC129" s="356">
        <f>AC219</f>
        <v>6211.558598803202</v>
      </c>
      <c r="AD129" s="355">
        <f>AC129</f>
        <v>6211.558598803202</v>
      </c>
      <c r="AE129" s="355">
        <f t="shared" ref="AE129:AG129" si="184">AE219</f>
        <v>6335.789770779265</v>
      </c>
      <c r="AF129" s="355">
        <f>AF219</f>
        <v>6462.505566194851</v>
      </c>
      <c r="AG129" s="355">
        <f>AG219</f>
        <v>6591.755677518748</v>
      </c>
      <c r="AH129" s="16"/>
      <c r="AI129" s="16"/>
      <c r="AJ129" s="16"/>
      <c r="AK129" s="16"/>
    </row>
    <row r="130" ht="13.5" customHeight="1" spans="1:37" x14ac:dyDescent="0.25">
      <c r="A130" s="264"/>
      <c r="B130" s="16"/>
      <c r="C130" s="139" t="s">
        <v>339</v>
      </c>
      <c r="D130" s="16"/>
      <c r="E130" s="16"/>
      <c r="F130" s="353">
        <f t="shared" ref="F130:I130" si="185">SUM(F126:F129)</f>
        <v>22204</v>
      </c>
      <c r="G130" s="353">
        <f>SUM(G126:G129)</f>
        <v>21622</v>
      </c>
      <c r="H130" s="353">
        <f>SUM(H126:H129)</f>
        <v>21575</v>
      </c>
      <c r="I130" s="353">
        <f>SUM(I126:I129)</f>
        <v>20280</v>
      </c>
      <c r="J130" s="282">
        <f>I130</f>
        <v>20280</v>
      </c>
      <c r="K130" s="353">
        <f t="shared" ref="K130:N130" si="186">SUM(K126:K129)</f>
        <v>23884</v>
      </c>
      <c r="L130" s="353">
        <f>SUM(L126:L129)</f>
        <v>23899</v>
      </c>
      <c r="M130" s="353">
        <f>SUM(M126:M129)</f>
        <v>24102</v>
      </c>
      <c r="N130" s="353">
        <f>SUM(N126:N129)</f>
        <v>24153</v>
      </c>
      <c r="O130" s="282">
        <f>N130</f>
        <v>24153</v>
      </c>
      <c r="P130" s="353">
        <f t="shared" ref="P130:S130" si="187">SUM(P126:P129)</f>
        <v>23906</v>
      </c>
      <c r="Q130" s="353">
        <f>SUM(Q126:Q129)</f>
        <v>24046</v>
      </c>
      <c r="R130" s="353">
        <f>SUM(R126:R129)</f>
        <v>23964</v>
      </c>
      <c r="S130" s="353">
        <f>SUM(S126:S129)</f>
        <v>24409</v>
      </c>
      <c r="T130" s="282">
        <f>S130</f>
        <v>24409</v>
      </c>
      <c r="U130" s="353">
        <f t="shared" ref="U130:X130" si="188">SUM(U126:U129)</f>
        <v>24384</v>
      </c>
      <c r="V130" s="353">
        <f>SUM(V126:V129)</f>
        <v>24321</v>
      </c>
      <c r="W130" s="353">
        <f>SUM(W126:W129)</f>
        <v>24551</v>
      </c>
      <c r="X130" s="281">
        <f>SUM(X126:X129)</f>
        <v>24702.4582</v>
      </c>
      <c r="Y130" s="282">
        <f>X130</f>
        <v>24702.4582</v>
      </c>
      <c r="Z130" s="281">
        <f t="shared" ref="Z130:AC130" si="189">SUM(Z126:Z129)</f>
        <v>25101.9455535</v>
      </c>
      <c r="AA130" s="281">
        <f>SUM(AA126:AA129)</f>
        <v>25526.49213255375</v>
      </c>
      <c r="AB130" s="281">
        <f>SUM(AB126:AB129)</f>
        <v>25741.81279867726</v>
      </c>
      <c r="AC130" s="281">
        <f>SUM(AC126:AC129)</f>
        <v>25935.93582426745</v>
      </c>
      <c r="AD130" s="282">
        <f>AC130</f>
        <v>25935.93582426745</v>
      </c>
      <c r="AE130" s="282">
        <f t="shared" ref="AE130:AG130" si="190">SUM(AE126:AE129)</f>
        <v>26786.842991483172</v>
      </c>
      <c r="AF130" s="282">
        <f>SUM(AF126:AF129)</f>
        <v>27630.850733590625</v>
      </c>
      <c r="AG130" s="282">
        <f>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1">SUM(F124,F130)</f>
        <v>38237</v>
      </c>
      <c r="G132" s="353">
        <f>SUM(G124,G130)</f>
        <v>37105</v>
      </c>
      <c r="H132" s="353">
        <f>SUM(H124,H130)</f>
        <v>36713</v>
      </c>
      <c r="I132" s="353">
        <f>SUM(I124,I130)</f>
        <v>34508</v>
      </c>
      <c r="J132" s="282">
        <f>SUM(J124,J130)</f>
        <v>34508</v>
      </c>
      <c r="K132" s="353">
        <f>SUM(K124,K130)</f>
        <v>43219</v>
      </c>
      <c r="L132" s="353">
        <f>SUM(L124,L130)</f>
        <v>40695</v>
      </c>
      <c r="M132" s="353">
        <f>SUM(M124,M130)</f>
        <v>39764</v>
      </c>
      <c r="N132" s="353">
        <f>SUM(N124,N130)</f>
        <v>39471</v>
      </c>
      <c r="O132" s="282">
        <f>SUM(O124,O130)</f>
        <v>39471</v>
      </c>
      <c r="P132" s="353">
        <f>SUM(P124,P130)</f>
        <v>45832</v>
      </c>
      <c r="Q132" s="353">
        <f>SUM(Q124,Q130)</f>
        <v>51763</v>
      </c>
      <c r="R132" s="353">
        <f>SUM(R124,R130)</f>
        <v>50880</v>
      </c>
      <c r="S132" s="353">
        <f>SUM(S124,S130)</f>
        <v>46735</v>
      </c>
      <c r="T132" s="282">
        <f>SUM(T124,T130)</f>
        <v>46735</v>
      </c>
      <c r="U132" s="353">
        <f>SUM(U124,U130)</f>
        <v>51200</v>
      </c>
      <c r="V132" s="353">
        <f>SUM(V124,V130)</f>
        <v>49404</v>
      </c>
      <c r="W132" s="353">
        <f>SUM(W124,W130)</f>
        <v>49400</v>
      </c>
      <c r="X132" s="281">
        <f>SUM(X124,X130)</f>
      </c>
      <c r="Y132" s="282">
        <f>SUM(Y124,Y130)</f>
      </c>
      <c r="Z132" s="281">
        <f>SUM(Z124,Z130)</f>
      </c>
      <c r="AA132" s="281">
        <f>SUM(AA124,AA130)</f>
      </c>
      <c r="AB132" s="281">
        <f>SUM(AB124,AB130)</f>
      </c>
      <c r="AC132" s="281">
        <f>SUM(AC124,AC130)</f>
      </c>
      <c r="AD132" s="282">
        <f>SUM(AD124,AD130)</f>
      </c>
      <c r="AE132" s="282">
        <f>SUM(AE124,AE130)</f>
      </c>
      <c r="AF132" s="282">
        <f>SUM(AF124,AF130)</f>
      </c>
      <c r="AG132" s="282">
        <f>SUM(AG124,AG130)</f>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1192</v>
      </c>
      <c r="G134" s="392">
        <v>1246</v>
      </c>
      <c r="H134" s="392">
        <v>1202</v>
      </c>
      <c r="I134" s="392">
        <v>1408</v>
      </c>
      <c r="J134" s="282">
        <f t="shared" ref="J134:J137" si="192">I134</f>
        <v>8279</v>
      </c>
      <c r="K134" s="392">
        <v>1335</v>
      </c>
      <c r="L134" s="392">
        <v>1270</v>
      </c>
      <c r="M134" s="392">
        <v>1265</v>
      </c>
      <c r="N134" s="392">
        <v>1294</v>
      </c>
      <c r="O134" s="282">
        <f t="shared" ref="O134:O137" si="193">N134</f>
        <v>7659</v>
      </c>
      <c r="P134" s="392">
        <v>1327</v>
      </c>
      <c r="Q134" s="392">
        <v>1360</v>
      </c>
      <c r="R134" s="392">
        <v>1356</v>
      </c>
      <c r="S134" s="392">
        <v>1360</v>
      </c>
      <c r="T134" s="282">
        <f t="shared" ref="T134:T137" si="194">S134</f>
        <v>10884</v>
      </c>
      <c r="U134" s="392">
        <v>1339</v>
      </c>
      <c r="V134" s="392">
        <v>12011</v>
      </c>
      <c r="W134" s="392">
        <v>11334</v>
      </c>
      <c r="X134" s="281">
        <f t="shared" ref="X134:X136" si="195">X167</f>
        <v>11323.858532608696</v>
      </c>
      <c r="Y134" s="282">
        <f t="shared" ref="Y134:Y137" si="196">X134</f>
        <v>11323.858532608696</v>
      </c>
      <c r="Z134" s="281">
        <f t="shared" ref="Z134:AC134" si="197">Z167</f>
        <v>14082.098578461539</v>
      </c>
      <c r="AA134" s="281">
        <f>AA167</f>
        <v>13208.488998646155</v>
      </c>
      <c r="AB134" s="281">
        <f>AB167</f>
        <v>13065.937173145043</v>
      </c>
      <c r="AC134" s="281">
        <f>AC167</f>
        <v>12661.478622679173</v>
      </c>
      <c r="AD134" s="282">
        <f t="shared" ref="AD134:AD137" si="198">AC134</f>
        <v>12661.478622679173</v>
      </c>
      <c r="AE134" s="282">
        <f t="shared" ref="AE134:AG134" si="199">AE167</f>
        <v>13673.255855145992</v>
      </c>
      <c r="AF134" s="282">
        <f>AF167</f>
        <v>13930.522690051177</v>
      </c>
      <c r="AG134" s="282">
        <f>AG167</f>
        <v>14176.088648168821</v>
      </c>
      <c r="AH134" s="16"/>
      <c r="AI134" s="16"/>
      <c r="AJ134" s="16"/>
      <c r="AK134" s="16"/>
    </row>
    <row r="135" ht="13.5" customHeight="1" spans="1:37" x14ac:dyDescent="0.25">
      <c r="A135" s="264"/>
      <c r="B135" s="16"/>
      <c r="C135" s="16" t="s">
        <v>342</v>
      </c>
      <c r="D135" s="16"/>
      <c r="E135" s="16"/>
      <c r="F135" s="358">
        <v>2951</v>
      </c>
      <c r="G135" s="358">
        <v>2830</v>
      </c>
      <c r="H135" s="358">
        <v>3144</v>
      </c>
      <c r="I135" s="358">
        <v>3352</v>
      </c>
      <c r="J135" s="162">
        <f>I135</f>
        <v>662</v>
      </c>
      <c r="K135" s="358">
        <v>2213</v>
      </c>
      <c r="L135" s="358">
        <v>2048</v>
      </c>
      <c r="M135" s="358">
        <v>2346</v>
      </c>
      <c r="N135" s="358">
        <v>3016</v>
      </c>
      <c r="O135" s="162">
        <f>N135</f>
        <v>684</v>
      </c>
      <c r="P135" s="358">
        <v>1475</v>
      </c>
      <c r="Q135" s="358">
        <v>1337</v>
      </c>
      <c r="R135" s="358">
        <v>1517</v>
      </c>
      <c r="S135" s="358">
        <v>1294</v>
      </c>
      <c r="T135" s="162">
        <f>S135</f>
        <v>2411</v>
      </c>
      <c r="U135" s="358">
        <v>1730</v>
      </c>
      <c r="V135" s="358">
        <v>1331</v>
      </c>
      <c r="W135" s="358">
        <v>1353</v>
      </c>
      <c r="X135" s="281">
        <f>X168</f>
        <v>947.08635</v>
      </c>
      <c r="Y135" s="162">
        <f>X135</f>
        <v>947.08635</v>
      </c>
      <c r="Z135" s="281">
        <f t="shared" ref="Z135:AC135" si="200">Z168</f>
        <v>1104.716354</v>
      </c>
      <c r="AA135" s="281">
        <f>AA168</f>
        <v>1252.05468633</v>
      </c>
      <c r="AB135" s="281">
        <f>AB168</f>
        <v>1134.0247357824</v>
      </c>
      <c r="AC135" s="281">
        <f>AC168</f>
        <v>1058.9600302604401</v>
      </c>
      <c r="AD135" s="162">
        <f>AC135</f>
        <v>1058.9600302604401</v>
      </c>
      <c r="AE135" s="282">
        <f t="shared" ref="AE135:AG135" si="201">AE168</f>
        <v>1201.4740561605136</v>
      </c>
      <c r="AF135" s="282">
        <f>AF168</f>
        <v>1224.080188227645</v>
      </c>
      <c r="AG135" s="282">
        <f>AG168</f>
        <v>1245.6581599177973</v>
      </c>
      <c r="AH135" s="16"/>
      <c r="AI135" s="16"/>
      <c r="AJ135" s="16"/>
      <c r="AK135" s="16"/>
    </row>
    <row r="136" ht="13.5" customHeight="1" spans="1:37" x14ac:dyDescent="0.25">
      <c r="A136" s="264"/>
      <c r="B136" s="16"/>
      <c r="C136" s="16" t="s">
        <v>343</v>
      </c>
      <c r="D136" s="16"/>
      <c r="E136" s="16"/>
      <c r="F136" s="354">
        <f>1439+2620</f>
        <v>4059</v>
      </c>
      <c r="G136" s="354">
        <f>1449+2583</f>
        <v>4032</v>
      </c>
      <c r="H136" s="354">
        <f>1356+2507</f>
        <v>3863</v>
      </c>
      <c r="I136" s="354">
        <f>722+1299+2425</f>
        <v>4446</v>
      </c>
      <c r="J136" s="355">
        <f>I136</f>
        <v>4446</v>
      </c>
      <c r="K136" s="354">
        <f>500+1376+2643</f>
        <v>4519</v>
      </c>
      <c r="L136" s="354">
        <f>1324+2794+492</f>
        <v>4610</v>
      </c>
      <c r="M136" s="354">
        <f>637+499+1222+2530</f>
        <v>4888</v>
      </c>
      <c r="N136" s="354">
        <f>1941+501+1219+2581</f>
        <v>6242</v>
      </c>
      <c r="O136" s="355">
        <f>N136</f>
        <v>6242</v>
      </c>
      <c r="P136" s="354">
        <v>4524</v>
      </c>
      <c r="Q136" s="354">
        <v>4311</v>
      </c>
      <c r="R136" s="354">
        <v>4660</v>
      </c>
      <c r="S136" s="354">
        <v>4366</v>
      </c>
      <c r="T136" s="355">
        <f>S136</f>
        <v>3614</v>
      </c>
      <c r="U136" s="354">
        <f>551+2022+3705</f>
        <v>6278</v>
      </c>
      <c r="V136" s="354">
        <f>1000+557+2041+3380</f>
        <v>6978</v>
      </c>
      <c r="W136" s="354">
        <f>1000+573+1954+3268</f>
        <v>6795</v>
      </c>
      <c r="X136" s="356">
        <f>X169</f>
        <v>9470.8635</v>
      </c>
      <c r="Y136" s="355">
        <f>X136</f>
        <v>9470.8635</v>
      </c>
      <c r="Z136" s="356">
        <f t="shared" ref="Z136:AC136" si="202">Z169</f>
        <v>9721.503915199999</v>
      </c>
      <c r="AA136" s="356">
        <f>AA169</f>
        <v>11018.081239704</v>
      </c>
      <c r="AB136" s="356">
        <f>AB169</f>
        <v>11340.247357824</v>
      </c>
      <c r="AC136" s="356">
        <f>AC169</f>
        <v>10589.6003026044</v>
      </c>
      <c r="AD136" s="355">
        <f>AC136</f>
        <v>10589.6003026044</v>
      </c>
      <c r="AE136" s="355">
        <f t="shared" ref="AE136:AG136" si="203">AE169</f>
        <v>11090.529749173971</v>
      </c>
      <c r="AF136" s="355">
        <f>AF169</f>
        <v>11299.201737485955</v>
      </c>
      <c r="AG136" s="355">
        <f>AG169</f>
        <v>11498.383014625822</v>
      </c>
      <c r="AH136" s="16"/>
      <c r="AI136" s="16"/>
      <c r="AJ136" s="16"/>
      <c r="AK136" s="16"/>
    </row>
    <row r="137" ht="13.5" customHeight="1" spans="1:37" x14ac:dyDescent="0.25">
      <c r="A137" s="264"/>
      <c r="B137" s="16"/>
      <c r="C137" s="139" t="s">
        <v>344</v>
      </c>
      <c r="D137" s="16"/>
      <c r="E137" s="16"/>
      <c r="F137" s="353">
        <f t="shared" ref="F137:I137" si="204">SUM(F134:F136)</f>
        <v>14878</v>
      </c>
      <c r="G137" s="353">
        <f>SUM(G134:G136)</f>
        <v>13687</v>
      </c>
      <c r="H137" s="353">
        <f>SUM(H134:H136)</f>
        <v>13952</v>
      </c>
      <c r="I137" s="353">
        <f>SUM(I134:I136)</f>
        <v>13387</v>
      </c>
      <c r="J137" s="282">
        <f>I137</f>
        <v>13387</v>
      </c>
      <c r="K137" s="353">
        <f t="shared" ref="K137:N137" si="205">SUM(K134:K136)</f>
        <v>16773</v>
      </c>
      <c r="L137" s="353">
        <f>SUM(L134:L136)</f>
        <v>14826</v>
      </c>
      <c r="M137" s="353">
        <f>SUM(M134:M136)</f>
        <v>14489</v>
      </c>
      <c r="N137" s="353">
        <f>SUM(N134:N136)</f>
        <v>14585</v>
      </c>
      <c r="O137" s="282">
        <f>N137</f>
        <v>14585</v>
      </c>
      <c r="P137" s="353">
        <f t="shared" ref="P137:S137" si="206">SUM(P134:P136)</f>
        <v>17721</v>
      </c>
      <c r="Q137" s="353">
        <f>SUM(Q134:Q136)</f>
        <v>20761</v>
      </c>
      <c r="R137" s="353">
        <f>SUM(R134:R136)</f>
        <v>18955</v>
      </c>
      <c r="S137" s="353">
        <f>SUM(S134:S136)</f>
        <v>16909</v>
      </c>
      <c r="T137" s="282">
        <f>S137</f>
        <v>16909</v>
      </c>
      <c r="U137" s="353">
        <f t="shared" ref="U137:X137" si="207">SUM(U134:U136)</f>
        <v>21554</v>
      </c>
      <c r="V137" s="353">
        <f>SUM(V134:V136)</f>
        <v>20320</v>
      </c>
      <c r="W137" s="353">
        <f>SUM(W134:W136)</f>
        <v>19482</v>
      </c>
      <c r="X137" s="281">
        <f>SUM(X134:X136)</f>
        <v>21741.808382608695</v>
      </c>
      <c r="Y137" s="282">
        <f>X137</f>
        <v>21741.808382608695</v>
      </c>
      <c r="Z137" s="281">
        <f t="shared" ref="Z137:AC137" si="208">SUM(Z134:Z136)</f>
        <v>24908.31884766154</v>
      </c>
      <c r="AA137" s="281">
        <f>SUM(AA134:AA136)</f>
        <v>25478.624924680156</v>
      </c>
      <c r="AB137" s="281">
        <f>SUM(AB134:AB136)</f>
        <v>25540.209266751444</v>
      </c>
      <c r="AC137" s="281">
        <f>SUM(AC134:AC136)</f>
        <v>24310.038955544012</v>
      </c>
      <c r="AD137" s="282">
        <f>AC137</f>
        <v>24310.038955544012</v>
      </c>
      <c r="AE137" s="282">
        <f t="shared" ref="AE137:AG137" si="209">SUM(AE134:AE136)</f>
        <v>25965.25966048048</v>
      </c>
      <c r="AF137" s="282">
        <f>SUM(AF134:AF136)</f>
        <v>26453.804615764777</v>
      </c>
      <c r="AG137" s="282">
        <f>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210">I139</f>
        <v>0</v>
      </c>
      <c r="K139" s="392">
        <v>0</v>
      </c>
      <c r="L139" s="392">
        <v>0</v>
      </c>
      <c r="M139" s="392">
        <v>0</v>
      </c>
      <c r="N139" s="392">
        <v>0</v>
      </c>
      <c r="O139" s="282">
        <f t="shared" ref="O139:O143" si="211">N139</f>
        <v>0</v>
      </c>
      <c r="P139" s="392">
        <v>0</v>
      </c>
      <c r="Q139" s="392">
        <v>0</v>
      </c>
      <c r="R139" s="392">
        <v>0</v>
      </c>
      <c r="S139" s="392">
        <v>0</v>
      </c>
      <c r="T139" s="282">
        <f t="shared" ref="T139:T143" si="212">S139</f>
        <v>0</v>
      </c>
      <c r="U139" s="392">
        <v>0</v>
      </c>
      <c r="V139" s="392">
        <v>0</v>
      </c>
      <c r="W139" s="392">
        <v>0</v>
      </c>
      <c r="X139" s="281">
        <f>X304</f>
      </c>
      <c r="Y139" s="282">
        <f>X139</f>
      </c>
      <c r="Z139" s="281">
        <f>Z304</f>
      </c>
      <c r="AA139" s="281">
        <f>AA304</f>
      </c>
      <c r="AB139" s="281">
        <f>AB304</f>
      </c>
      <c r="AC139" s="281">
        <f>AC304</f>
      </c>
      <c r="AD139" s="282">
        <f>AC139</f>
      </c>
      <c r="AE139" s="282">
        <f>AE304</f>
      </c>
      <c r="AF139" s="282">
        <f>AF304</f>
      </c>
      <c r="AG139" s="282">
        <f>AG304</f>
      </c>
      <c r="AH139" s="16"/>
      <c r="AI139" s="16"/>
      <c r="AJ139" s="16"/>
      <c r="AK139" s="16"/>
    </row>
    <row r="140" ht="13.5" customHeight="1" spans="1:37" x14ac:dyDescent="0.25">
      <c r="A140" s="264"/>
      <c r="B140" s="16"/>
      <c r="C140" s="16" t="s">
        <v>346</v>
      </c>
      <c r="D140" s="16"/>
      <c r="E140" s="16"/>
      <c r="F140" s="358">
        <f>896+14948</f>
        <v>15844</v>
      </c>
      <c r="G140" s="358">
        <f>14937+894</f>
        <v>15831</v>
      </c>
      <c r="H140" s="358">
        <f>1117+14460</f>
        <v>15577</v>
      </c>
      <c r="I140" s="358">
        <f>1110+14391</f>
        <v>15501</v>
      </c>
      <c r="J140" s="162">
        <f>I140</f>
        <v>15501</v>
      </c>
      <c r="K140" s="358">
        <f>1008+16542</f>
        <v>17550</v>
      </c>
      <c r="L140" s="358">
        <f>1009+16538</f>
        <v>17547</v>
      </c>
      <c r="M140" s="358">
        <f>574+16635</f>
        <v>17209</v>
      </c>
      <c r="N140" s="358">
        <f>597+16768</f>
        <v>17365</v>
      </c>
      <c r="O140" s="162">
        <f>N140</f>
        <v>17365</v>
      </c>
      <c r="P140" s="358">
        <v>20804</v>
      </c>
      <c r="Q140" s="358">
        <v>20806</v>
      </c>
      <c r="R140" s="358">
        <v>21794</v>
      </c>
      <c r="S140" s="358">
        <v>26211</v>
      </c>
      <c r="T140" s="162">
        <f>S140</f>
        <v>26211</v>
      </c>
      <c r="U140" s="358">
        <f>1338+21906</f>
        <v>23244</v>
      </c>
      <c r="V140" s="358">
        <f>21967+1344</f>
        <v>23311</v>
      </c>
      <c r="W140" s="358">
        <f>23881+1352</f>
        <v>25233</v>
      </c>
      <c r="X140" s="359">
        <f>X310</f>
        <v>24733</v>
      </c>
      <c r="Y140" s="162">
        <f>X140</f>
        <v>24733</v>
      </c>
      <c r="Z140" s="359">
        <f t="shared" ref="Z140:AC140" si="213">Z310</f>
        <v>24233</v>
      </c>
      <c r="AA140" s="359">
        <f>AA310</f>
        <v>23733</v>
      </c>
      <c r="AB140" s="359">
        <f>AB310</f>
        <v>23233</v>
      </c>
      <c r="AC140" s="359">
        <f>AC310</f>
        <v>22733</v>
      </c>
      <c r="AD140" s="162">
        <f>AC140</f>
        <v>22733</v>
      </c>
      <c r="AE140" s="162">
        <f t="shared" ref="AE140:AG140" si="214">AE310</f>
        <v>21333</v>
      </c>
      <c r="AF140" s="162">
        <f>AF310</f>
        <v>20033</v>
      </c>
      <c r="AG140" s="162">
        <f>AG310</f>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c>
      <c r="K141" s="358">
        <v>0</v>
      </c>
      <c r="L141" s="358">
        <v>0</v>
      </c>
      <c r="M141" s="358">
        <v>0</v>
      </c>
      <c r="N141" s="358">
        <v>0</v>
      </c>
      <c r="O141" s="162">
        <f>N141</f>
      </c>
      <c r="P141" s="358">
        <v>0</v>
      </c>
      <c r="Q141" s="358">
        <v>0</v>
      </c>
      <c r="R141" s="358">
        <v>0</v>
      </c>
      <c r="S141" s="358">
        <v>168</v>
      </c>
      <c r="T141" s="162">
        <f>S141</f>
        <v>168</v>
      </c>
      <c r="U141" s="358">
        <v>0</v>
      </c>
      <c r="V141" s="358">
        <v>0</v>
      </c>
      <c r="W141" s="358">
        <v>0</v>
      </c>
      <c r="X141" s="359">
        <f t="shared" ref="X141:X142" si="215">X223</f>
        <v>0</v>
      </c>
      <c r="Y141" s="162">
        <f>X141</f>
      </c>
      <c r="Z141" s="359">
        <f t="shared" ref="Z141:AC141" si="216">Z223</f>
        <v>0</v>
      </c>
      <c r="AA141" s="359">
        <f>AA223</f>
      </c>
      <c r="AB141" s="359">
        <f>AB223</f>
      </c>
      <c r="AC141" s="359">
        <f>AC223</f>
      </c>
      <c r="AD141" s="162">
        <f>AC141</f>
      </c>
      <c r="AE141" s="162">
        <f t="shared" ref="AE141:AG141" si="217">AE223</f>
        <v>0</v>
      </c>
      <c r="AF141" s="162">
        <f>AF223</f>
      </c>
      <c r="AG141" s="162">
        <f>AG223</f>
      </c>
      <c r="AH141" s="16"/>
      <c r="AI141" s="16"/>
      <c r="AJ141" s="16"/>
      <c r="AK141" s="16"/>
    </row>
    <row r="142" ht="13.5" customHeight="1" spans="1:37" x14ac:dyDescent="0.25">
      <c r="A142" s="264"/>
      <c r="B142" s="16"/>
      <c r="C142" s="16" t="s">
        <v>348</v>
      </c>
      <c r="D142" s="16"/>
      <c r="E142" s="16"/>
      <c r="F142" s="354">
        <v>-1784</v>
      </c>
      <c r="G142" s="354">
        <v>-1783</v>
      </c>
      <c r="H142" s="354">
        <v>-1377</v>
      </c>
      <c r="I142" s="354">
        <v>-1903</v>
      </c>
      <c r="J142" s="355">
        <f>I142</f>
        <v>1976</v>
      </c>
      <c r="K142" s="354">
        <v>-4381</v>
      </c>
      <c r="L142" s="354">
        <v>-4079</v>
      </c>
      <c r="M142" s="354">
        <v>-4411</v>
      </c>
      <c r="N142" s="354">
        <v>-7528</v>
      </c>
      <c r="O142" s="355">
        <f>N142</f>
        <v>5549</v>
      </c>
      <c r="P142" s="354">
        <v>-7546</v>
      </c>
      <c r="Q142" s="354">
        <v>-7417</v>
      </c>
      <c r="R142" s="354">
        <v>-8609</v>
      </c>
      <c r="S142" s="354">
        <v>-12695</v>
      </c>
      <c r="T142" s="355">
        <f>S142</f>
        <v>2010</v>
      </c>
      <c r="U142" s="354">
        <v>-10238</v>
      </c>
      <c r="V142" s="354">
        <v>11204</v>
      </c>
      <c r="W142" s="354">
        <f>4136+1119+1006</f>
        <v>6261</v>
      </c>
      <c r="X142" s="356">
        <f>X224</f>
        <v>6261</v>
      </c>
      <c r="Y142" s="355">
        <f>X142</f>
        <v>6261</v>
      </c>
      <c r="Z142" s="356">
        <f t="shared" ref="Z142:AC142" si="218">Z224</f>
        <v>6261</v>
      </c>
      <c r="AA142" s="356">
        <f>AA224</f>
        <v>6261</v>
      </c>
      <c r="AB142" s="356">
        <f>AB224</f>
        <v>6261</v>
      </c>
      <c r="AC142" s="356">
        <f>AC224</f>
        <v>6261</v>
      </c>
      <c r="AD142" s="355">
        <f>AC142</f>
        <v>6261</v>
      </c>
      <c r="AE142" s="355">
        <f t="shared" ref="AE142:AG142" si="219">AE224</f>
        <v>6261</v>
      </c>
      <c r="AF142" s="355">
        <f>AF224</f>
        <v>6261</v>
      </c>
      <c r="AG142" s="355">
        <f>AG224</f>
        <v>6261</v>
      </c>
      <c r="AH142" s="16"/>
      <c r="AI142" s="16"/>
      <c r="AJ142" s="16"/>
      <c r="AK142" s="16"/>
    </row>
    <row r="143" ht="13.5" customHeight="1" spans="1:37" x14ac:dyDescent="0.25">
      <c r="A143" s="264"/>
      <c r="B143" s="16"/>
      <c r="C143" s="139" t="s">
        <v>349</v>
      </c>
      <c r="D143" s="16"/>
      <c r="E143" s="16"/>
      <c r="F143" s="353">
        <f t="shared" ref="F143:I143" si="220">SUM(F139:F142)</f>
        <v>17614</v>
      </c>
      <c r="G143" s="353">
        <f>SUM(G139:G142)</f>
        <v>17637</v>
      </c>
      <c r="H143" s="353">
        <f>SUM(H139:H142)</f>
        <v>17367</v>
      </c>
      <c r="I143" s="353">
        <f>SUM(I139:I142)</f>
        <v>17477</v>
      </c>
      <c r="J143" s="282">
        <f>I143</f>
        <v>17477</v>
      </c>
      <c r="K143" s="353">
        <f t="shared" ref="K143:N143" si="221">SUM(K139:K142)</f>
        <v>23210</v>
      </c>
      <c r="L143" s="353">
        <f>SUM(L139:L142)</f>
        <v>23229</v>
      </c>
      <c r="M143" s="353">
        <f>SUM(M139:M142)</f>
        <v>22817</v>
      </c>
      <c r="N143" s="353">
        <f>SUM(N139:N142)</f>
        <v>22914</v>
      </c>
      <c r="O143" s="282">
        <f>N143</f>
        <v>22914</v>
      </c>
      <c r="P143" s="353">
        <f t="shared" ref="P143:S143" si="222">SUM(P139:P142)</f>
        <v>26395</v>
      </c>
      <c r="Q143" s="353">
        <f>SUM(Q139:Q142)</f>
        <v>26646</v>
      </c>
      <c r="R143" s="353">
        <f>SUM(R139:R142)</f>
        <v>27852</v>
      </c>
      <c r="S143" s="353">
        <f>SUM(S139:S142)</f>
        <v>28389</v>
      </c>
      <c r="T143" s="282">
        <f>S143</f>
        <v>28389</v>
      </c>
      <c r="U143" s="353">
        <f t="shared" ref="U143:X143" si="223">SUM(U139:U142)</f>
        <v>29201</v>
      </c>
      <c r="V143" s="353">
        <f>SUM(V139:V142)</f>
        <v>29259</v>
      </c>
      <c r="W143" s="353">
        <f>SUM(W139:W142)</f>
        <v>31494</v>
      </c>
      <c r="X143" s="281">
        <f>SUM(X139:X142)</f>
      </c>
      <c r="Y143" s="282">
        <f>X143</f>
      </c>
      <c r="Z143" s="281">
        <f>SUM(Z139:Z142)</f>
      </c>
      <c r="AA143" s="281">
        <f>SUM(AA139:AA142)</f>
      </c>
      <c r="AB143" s="281">
        <f>SUM(AB139:AB142)</f>
      </c>
      <c r="AC143" s="281">
        <f>SUM(AC139:AC142)</f>
      </c>
      <c r="AD143" s="282">
        <f>AC143</f>
      </c>
      <c r="AE143" s="282">
        <f>SUM(AE139:AE142)</f>
      </c>
      <c r="AF143" s="282">
        <f>SUM(AF139:AF142)</f>
      </c>
      <c r="AG143" s="282">
        <f>SUM(AG139:AG142)</f>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24">SUM(F137,F143)</f>
        <v>32492</v>
      </c>
      <c r="G145" s="353">
        <f>SUM(G137,G143)</f>
        <v>31324</v>
      </c>
      <c r="H145" s="353">
        <f>SUM(H137,H143)</f>
        <v>31319</v>
      </c>
      <c r="I145" s="353">
        <f>SUM(I137,I143)</f>
        <v>30864</v>
      </c>
      <c r="J145" s="282">
        <f>SUM(J137,J143)</f>
        <v>30864</v>
      </c>
      <c r="K145" s="353">
        <f>SUM(K137,K143)</f>
        <v>39983</v>
      </c>
      <c r="L145" s="353">
        <f>SUM(L137,L143)</f>
        <v>38055</v>
      </c>
      <c r="M145" s="353">
        <f>SUM(M137,M143)</f>
        <v>37306</v>
      </c>
      <c r="N145" s="353">
        <f>SUM(N137,N143)</f>
        <v>37499</v>
      </c>
      <c r="O145" s="282">
        <f>SUM(O137,O143)</f>
        <v>37499</v>
      </c>
      <c r="P145" s="353">
        <f>SUM(P137,P143)</f>
        <v>44116</v>
      </c>
      <c r="Q145" s="353">
        <f>SUM(Q137,Q143)</f>
        <v>47407</v>
      </c>
      <c r="R145" s="353">
        <f>SUM(R137,R143)</f>
        <v>46807</v>
      </c>
      <c r="S145" s="353">
        <f>SUM(S137,S143)</f>
        <v>45298</v>
      </c>
      <c r="T145" s="282">
        <f>SUM(T137,T143)</f>
        <v>45298</v>
      </c>
      <c r="U145" s="353">
        <f>SUM(U137,U143)</f>
        <v>50755</v>
      </c>
      <c r="V145" s="353">
        <f>SUM(V137,V143)</f>
        <v>49579</v>
      </c>
      <c r="W145" s="353">
        <f>SUM(W137,W143)</f>
        <v>50976</v>
      </c>
      <c r="X145" s="281">
        <f>SUM(X137,X143)</f>
      </c>
      <c r="Y145" s="282">
        <f>SUM(Y137,Y143)</f>
      </c>
      <c r="Z145" s="281">
        <f>SUM(Z137,Z143)</f>
      </c>
      <c r="AA145" s="281">
        <f>SUM(AA137,AA143)</f>
      </c>
      <c r="AB145" s="281">
        <f>SUM(AB137,AB143)</f>
      </c>
      <c r="AC145" s="281">
        <f>SUM(AC137,AC143)</f>
      </c>
      <c r="AD145" s="282">
        <f>SUM(AD137,AD143)</f>
      </c>
      <c r="AE145" s="282">
        <f>SUM(AE137,AE143)</f>
      </c>
      <c r="AF145" s="282">
        <f>SUM(AF137,AF143)</f>
      </c>
      <c r="AG145" s="282">
        <f>SUM(AG137,AG143)</f>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4782</v>
      </c>
      <c r="G147" s="392">
        <v>4808</v>
      </c>
      <c r="H147" s="392">
        <v>4826</v>
      </c>
      <c r="I147" s="392">
        <v>4842</v>
      </c>
      <c r="J147" s="282">
        <f t="shared" ref="J147:J151" si="225">I147</f>
        <v>401</v>
      </c>
      <c r="K147" s="392">
        <v>4814</v>
      </c>
      <c r="L147" s="392">
        <v>4848</v>
      </c>
      <c r="M147" s="392">
        <v>4857</v>
      </c>
      <c r="N147" s="392">
        <v>4881</v>
      </c>
      <c r="O147" s="282">
        <f t="shared" ref="O147:O151" si="226">N147</f>
        <v>381</v>
      </c>
      <c r="P147" s="392">
        <v>4834</v>
      </c>
      <c r="Q147" s="392">
        <v>4866</v>
      </c>
      <c r="R147" s="392">
        <v>4880</v>
      </c>
      <c r="S147" s="392">
        <v>4922</v>
      </c>
      <c r="T147" s="282">
        <f t="shared" ref="T147:T151" si="227">S147</f>
        <v>456</v>
      </c>
      <c r="U147" s="392">
        <v>5132</v>
      </c>
      <c r="V147" s="392">
        <v>350</v>
      </c>
      <c r="W147" s="392">
        <v>343</v>
      </c>
      <c r="X147" s="281">
        <f>X247</f>
        <v>394.3</v>
      </c>
      <c r="Y147" s="282">
        <f t="shared" ref="Y147:Y151" si="228">X147</f>
        <v>394.3</v>
      </c>
      <c r="Z147" s="281">
        <f t="shared" ref="Z147:AC147" si="229">Z247</f>
        <v>454.834</v>
      </c>
      <c r="AA147" s="281">
        <f>AA247</f>
        <v>523.84276</v>
      </c>
      <c r="AB147" s="281">
        <f>AB247</f>
        <v>584.5704688</v>
      </c>
      <c r="AC147" s="281">
        <f>AC247</f>
        <v>642.2617921599999</v>
      </c>
      <c r="AD147" s="282">
        <f t="shared" ref="AD147:AD151" si="230">AC147</f>
        <v>642.2617921599999</v>
      </c>
      <c r="AE147" s="282">
        <f t="shared" ref="AE147:AG147" si="231">AE247</f>
        <v>895.1828201632</v>
      </c>
      <c r="AF147" s="282">
        <f>AF247</f>
        <v>1153.162268726464</v>
      </c>
      <c r="AG147" s="282">
        <f>AG247</f>
        <v>1416.3013062609932</v>
      </c>
      <c r="AH147" s="16"/>
      <c r="AI147" s="16"/>
      <c r="AJ147" s="16"/>
      <c r="AK147" s="16"/>
    </row>
    <row r="148" ht="13.5" customHeight="1" spans="1:37" x14ac:dyDescent="0.25">
      <c r="A148" s="264"/>
      <c r="B148" s="16"/>
      <c r="C148" s="16" t="s">
        <v>352</v>
      </c>
      <c r="D148" s="16"/>
      <c r="E148" s="16"/>
      <c r="F148" s="358">
        <v>-660</v>
      </c>
      <c r="G148" s="358">
        <v>-537</v>
      </c>
      <c r="H148" s="358">
        <v>-436</v>
      </c>
      <c r="I148" s="358">
        <v>-192</v>
      </c>
      <c r="J148" s="162">
        <f>I148</f>
        <v>3452</v>
      </c>
      <c r="K148" s="358">
        <v>1959</v>
      </c>
      <c r="L148" s="358">
        <v>2218</v>
      </c>
      <c r="M148" s="358">
        <v>2690</v>
      </c>
      <c r="N148" s="358">
        <v>3008</v>
      </c>
      <c r="O148" s="162">
        <f>N148</f>
        <v>1727</v>
      </c>
      <c r="P148" s="358">
        <v>3414</v>
      </c>
      <c r="Q148" s="358">
        <v>3702</v>
      </c>
      <c r="R148" s="358">
        <v>4044</v>
      </c>
      <c r="S148" s="358">
        <v>4415</v>
      </c>
      <c r="T148" s="162">
        <f>S148</f>
        <v>1117</v>
      </c>
      <c r="U148" s="358">
        <v>5117</v>
      </c>
      <c r="V148" s="358">
        <f>-460</f>
        <v>-460</v>
      </c>
      <c r="W148" s="358">
        <f>-1913</f>
        <v>-1913</v>
      </c>
      <c r="X148" s="359">
        <f>X256</f>
      </c>
      <c r="Y148" s="162">
        <f>X148</f>
      </c>
      <c r="Z148" s="359">
        <f>Z256</f>
      </c>
      <c r="AA148" s="359">
        <f>AA256</f>
      </c>
      <c r="AB148" s="359">
        <f>AB256</f>
      </c>
      <c r="AC148" s="359">
        <f>AC256</f>
      </c>
      <c r="AD148" s="162">
        <f>AC148</f>
      </c>
      <c r="AE148" s="162">
        <f>AE256</f>
      </c>
      <c r="AF148" s="162">
        <f>AF256</f>
      </c>
      <c r="AG148" s="162">
        <f>AG256</f>
      </c>
      <c r="AH148" s="16"/>
      <c r="AI148" s="16"/>
      <c r="AJ148" s="16"/>
      <c r="AK148" s="16"/>
    </row>
    <row r="149" ht="13.5" customHeight="1" spans="1:37" x14ac:dyDescent="0.25">
      <c r="A149" s="264"/>
      <c r="B149" s="16"/>
      <c r="C149" s="16" t="s">
        <v>353</v>
      </c>
      <c r="D149" s="16"/>
      <c r="E149" s="16"/>
      <c r="F149" s="358">
        <v>-2710</v>
      </c>
      <c r="G149" s="358">
        <v>-2750</v>
      </c>
      <c r="H149" s="358">
        <v>-2750</v>
      </c>
      <c r="I149" s="358">
        <v>-2861</v>
      </c>
      <c r="J149" s="162">
        <f>I149</f>
      </c>
      <c r="K149" s="358">
        <v>-3141</v>
      </c>
      <c r="L149" s="358">
        <v>-3414</v>
      </c>
      <c r="M149" s="358">
        <v>-3538</v>
      </c>
      <c r="N149" s="358">
        <v>-3538</v>
      </c>
      <c r="O149" s="162">
        <f>N149</f>
      </c>
      <c r="P149" s="358">
        <v>-3889</v>
      </c>
      <c r="Q149" s="358">
        <v>-4642</v>
      </c>
      <c r="R149" s="358">
        <v>-4736</v>
      </c>
      <c r="S149" s="358">
        <v>-4936</v>
      </c>
      <c r="T149" s="162">
        <f>S149</f>
      </c>
      <c r="U149" s="358">
        <v>-5256</v>
      </c>
      <c r="V149" s="358">
        <v>-5256</v>
      </c>
      <c r="W149" s="358">
        <v>0</v>
      </c>
      <c r="X149" s="359">
        <f>-X241+W149</f>
        <v>-500</v>
      </c>
      <c r="Y149" s="162">
        <f>X149</f>
        <v>-500</v>
      </c>
      <c r="Z149" s="359">
        <f t="shared" ref="Z149:AC149" si="232">-Z241+Y149</f>
        <v>-1000</v>
      </c>
      <c r="AA149" s="359">
        <f>-AA241+Z149</f>
        <v>-1500</v>
      </c>
      <c r="AB149" s="359">
        <f>-AB241+AA149</f>
        <v>-2000</v>
      </c>
      <c r="AC149" s="359">
        <f>-AC241+AB149</f>
        <v>-2500</v>
      </c>
      <c r="AD149" s="162">
        <f>AC149</f>
        <v>-2500</v>
      </c>
      <c r="AE149" s="162">
        <f t="shared" ref="AE149:AG149" si="233">-AE241+AD149</f>
        <v>-5500</v>
      </c>
      <c r="AF149" s="162">
        <f>-AF241+AE149</f>
        <v>-8500</v>
      </c>
      <c r="AG149" s="162">
        <f>-AG241+AF149</f>
        <v>-11500</v>
      </c>
      <c r="AH149" s="16"/>
      <c r="AI149" s="16"/>
      <c r="AJ149" s="16"/>
      <c r="AK149" s="16"/>
    </row>
    <row r="150" ht="13.5" customHeight="1" spans="1:37" x14ac:dyDescent="0.25">
      <c r="A150" s="264"/>
      <c r="B150" s="16"/>
      <c r="C150" s="16" t="s">
        <v>354</v>
      </c>
      <c r="D150" s="16"/>
      <c r="E150" s="16"/>
      <c r="F150" s="354">
        <v>-179</v>
      </c>
      <c r="G150" s="354">
        <v>-178</v>
      </c>
      <c r="H150" s="354">
        <v>-176</v>
      </c>
      <c r="I150" s="354">
        <v>-181</v>
      </c>
      <c r="J150" s="355">
        <f>I150</f>
        <v>-209</v>
      </c>
      <c r="K150" s="354">
        <v>-179</v>
      </c>
      <c r="L150" s="354">
        <v>-177</v>
      </c>
      <c r="M150" s="354">
        <v>-175</v>
      </c>
      <c r="N150" s="354">
        <v>-180</v>
      </c>
      <c r="O150" s="355">
        <f>N150</f>
        <v>-136</v>
      </c>
      <c r="P150" s="354">
        <v>-178</v>
      </c>
      <c r="Q150" s="354">
        <v>-177</v>
      </c>
      <c r="R150" s="354">
        <v>-174</v>
      </c>
      <c r="S150" s="354">
        <v>-181</v>
      </c>
      <c r="T150" s="355">
        <f>S150</f>
        <v>-136</v>
      </c>
      <c r="U150" s="354">
        <v>-179</v>
      </c>
      <c r="V150" s="354">
        <f>-65</f>
        <v>-65</v>
      </c>
      <c r="W150" s="354">
        <v>-6</v>
      </c>
      <c r="X150" s="356">
        <f>X261</f>
        <v>-6</v>
      </c>
      <c r="Y150" s="355">
        <f>X150</f>
        <v>-6</v>
      </c>
      <c r="Z150" s="356">
        <f t="shared" ref="Z150:AC150" si="234">Z261</f>
        <v>-6</v>
      </c>
      <c r="AA150" s="356">
        <f>AA261</f>
        <v>-6</v>
      </c>
      <c r="AB150" s="356">
        <f>AB261</f>
        <v>-6</v>
      </c>
      <c r="AC150" s="356">
        <f>AC261</f>
        <v>-6</v>
      </c>
      <c r="AD150" s="355">
        <f>AC150</f>
        <v>-6</v>
      </c>
      <c r="AE150" s="355">
        <f t="shared" ref="AE150:AG150" si="235">AE261</f>
        <v>-6</v>
      </c>
      <c r="AF150" s="355">
        <f>AF261</f>
        <v>-6</v>
      </c>
      <c r="AG150" s="355">
        <f>AG261</f>
        <v>-6</v>
      </c>
      <c r="AH150" s="16"/>
      <c r="AI150" s="16"/>
      <c r="AJ150" s="16"/>
      <c r="AK150" s="16"/>
    </row>
    <row r="151" ht="13.5" customHeight="1" spans="1:37" x14ac:dyDescent="0.25">
      <c r="A151" s="264"/>
      <c r="B151" s="16"/>
      <c r="C151" s="139" t="s">
        <v>355</v>
      </c>
      <c r="D151" s="16"/>
      <c r="E151" s="16"/>
      <c r="F151" s="353">
        <f t="shared" ref="F151:I151" si="236">SUM(F147:F150)</f>
        <v>5745</v>
      </c>
      <c r="G151" s="353">
        <f>SUM(G147:G150)</f>
        <v>5781</v>
      </c>
      <c r="H151" s="353">
        <f>SUM(H147:H150)</f>
        <v>5394</v>
      </c>
      <c r="I151" s="353">
        <f>SUM(I147:I150)</f>
        <v>3644</v>
      </c>
      <c r="J151" s="282">
        <f>I151</f>
        <v>3644</v>
      </c>
      <c r="K151" s="353">
        <f t="shared" ref="K151:N151" si="237">SUM(K147:K150)</f>
        <v>3236</v>
      </c>
      <c r="L151" s="353">
        <f>SUM(L147:L150)</f>
        <v>2640</v>
      </c>
      <c r="M151" s="353">
        <f>SUM(M147:M150)</f>
        <v>2458</v>
      </c>
      <c r="N151" s="353">
        <f>SUM(N147:N150)</f>
        <v>1972</v>
      </c>
      <c r="O151" s="282">
        <f>N151</f>
        <v>1972</v>
      </c>
      <c r="P151" s="353">
        <f t="shared" ref="P151:S151" si="238">SUM(P147:P150)</f>
        <v>1716</v>
      </c>
      <c r="Q151" s="353">
        <f>SUM(Q147:Q150)</f>
        <v>4356</v>
      </c>
      <c r="R151" s="353">
        <f>SUM(R147:R150)</f>
        <v>4073</v>
      </c>
      <c r="S151" s="353">
        <f>SUM(S147:S150)</f>
        <v>1437</v>
      </c>
      <c r="T151" s="282">
        <f>S151</f>
        <v>1437</v>
      </c>
      <c r="U151" s="353">
        <f t="shared" ref="U151:X151" si="239">SUM(U147:U150)</f>
        <v>445</v>
      </c>
      <c r="V151" s="353">
        <f>SUM(V147:V150)</f>
        <v>-175</v>
      </c>
      <c r="W151" s="353">
        <f>SUM(W147:W150)</f>
        <v>-1576</v>
      </c>
      <c r="X151" s="281">
        <f>SUM(X147:X150)</f>
      </c>
      <c r="Y151" s="282">
        <f>X151</f>
      </c>
      <c r="Z151" s="281">
        <f>SUM(Z147:Z150)</f>
      </c>
      <c r="AA151" s="281">
        <f>SUM(AA147:AA150)</f>
      </c>
      <c r="AB151" s="281">
        <f>SUM(AB147:AB150)</f>
      </c>
      <c r="AC151" s="281">
        <f>SUM(AC147:AC150)</f>
      </c>
      <c r="AD151" s="282">
        <f>AC151</f>
      </c>
      <c r="AE151" s="282">
        <f>SUM(AE147:AE150)</f>
      </c>
      <c r="AF151" s="282">
        <f>SUM(AF147:AF150)</f>
      </c>
      <c r="AG151" s="282">
        <f>SUM(AG147:AG150)</f>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3572</v>
      </c>
      <c r="G153" s="354">
        <v>3658</v>
      </c>
      <c r="H153" s="354">
        <v>3717</v>
      </c>
      <c r="I153" s="354">
        <v>3900</v>
      </c>
      <c r="J153" s="355">
        <f t="shared" ref="J153:J154" si="240">I153</f>
        <v>0</v>
      </c>
      <c r="K153" s="354">
        <v>4218</v>
      </c>
      <c r="L153" s="354">
        <v>4394</v>
      </c>
      <c r="M153" s="354">
        <v>4241</v>
      </c>
      <c r="N153" s="354">
        <v>4376</v>
      </c>
      <c r="O153" s="355">
        <f t="shared" ref="O153:O154" si="241">N153</f>
        <v>0</v>
      </c>
      <c r="P153" s="354">
        <v>4472</v>
      </c>
      <c r="Q153" s="354">
        <v>4553</v>
      </c>
      <c r="R153" s="354">
        <v>4686</v>
      </c>
      <c r="S153" s="354">
        <v>4753</v>
      </c>
      <c r="T153" s="355">
        <f t="shared" ref="T153:T154" si="242">S153</f>
        <v>0</v>
      </c>
      <c r="U153" s="354">
        <v>4036</v>
      </c>
      <c r="V153" s="354">
        <v>0</v>
      </c>
      <c r="W153" s="354">
        <v>0</v>
      </c>
      <c r="X153" s="356">
        <f>W153+Drivers!X106</f>
        <v>0</v>
      </c>
      <c r="Y153" s="355">
        <f t="shared" ref="Y153:Y154" si="243">X153</f>
        <v>0</v>
      </c>
      <c r="Z153" s="356">
        <f>Y153+Drivers!Z106</f>
        <v>0</v>
      </c>
      <c r="AA153" s="356">
        <f>Z153+Drivers!AA106</f>
        <v>0</v>
      </c>
      <c r="AB153" s="356">
        <f>AA153+Drivers!AB106</f>
        <v>0</v>
      </c>
      <c r="AC153" s="356">
        <f>AB153+Drivers!AC106</f>
        <v>0</v>
      </c>
      <c r="AD153" s="355">
        <f t="shared" ref="AD153:AD154" si="244">AC153</f>
        <v>0</v>
      </c>
      <c r="AE153" s="355">
        <f>AD153+Drivers!AE106</f>
        <v>0</v>
      </c>
      <c r="AF153" s="355">
        <f>AE153+Drivers!AF106</f>
        <v>0</v>
      </c>
      <c r="AG153" s="355">
        <f>AF153+Drivers!AG106</f>
        <v>0</v>
      </c>
      <c r="AH153" s="16"/>
      <c r="AI153" s="16"/>
      <c r="AJ153" s="16"/>
      <c r="AK153" s="16"/>
    </row>
    <row r="154" ht="13.5" customHeight="1" spans="1:37" x14ac:dyDescent="0.25">
      <c r="A154" s="264"/>
      <c r="B154" s="16"/>
      <c r="C154" s="139" t="s">
        <v>357</v>
      </c>
      <c r="D154" s="16"/>
      <c r="E154" s="16"/>
      <c r="F154" s="353">
        <f t="shared" ref="F154:I154" si="245">SUM(F151:F153)</f>
        <v>5745</v>
      </c>
      <c r="G154" s="353">
        <f>SUM(G151:G153)</f>
        <v>5781</v>
      </c>
      <c r="H154" s="353">
        <f>SUM(H151:H153)</f>
        <v>5394</v>
      </c>
      <c r="I154" s="353">
        <f>SUM(I151:I153)</f>
        <v>3644</v>
      </c>
      <c r="J154" s="282">
        <f>I154</f>
        <v>3644</v>
      </c>
      <c r="K154" s="353">
        <f t="shared" ref="K154:N154" si="246">SUM(K151:K153)</f>
        <v>3236</v>
      </c>
      <c r="L154" s="353">
        <f>SUM(L151:L153)</f>
        <v>2640</v>
      </c>
      <c r="M154" s="353">
        <f>SUM(M151:M153)</f>
        <v>2458</v>
      </c>
      <c r="N154" s="353">
        <f>SUM(N151:N153)</f>
        <v>1972</v>
      </c>
      <c r="O154" s="282">
        <f>N154</f>
        <v>1972</v>
      </c>
      <c r="P154" s="353">
        <f t="shared" ref="P154:S154" si="247">SUM(P151:P153)</f>
        <v>1716</v>
      </c>
      <c r="Q154" s="353">
        <f>SUM(Q151:Q153)</f>
        <v>4356</v>
      </c>
      <c r="R154" s="353">
        <f>SUM(R151:R153)</f>
        <v>4073</v>
      </c>
      <c r="S154" s="353">
        <f>SUM(S151:S153)</f>
        <v>1437</v>
      </c>
      <c r="T154" s="282">
        <f>S154</f>
        <v>1437</v>
      </c>
      <c r="U154" s="353">
        <f t="shared" ref="U154:X154" si="248">SUM(U151:U153)</f>
        <v>445</v>
      </c>
      <c r="V154" s="353">
        <f>SUM(V151:V153)</f>
        <v>-175</v>
      </c>
      <c r="W154" s="353">
        <f>SUM(W151:W153)</f>
        <v>-1576</v>
      </c>
      <c r="X154" s="281">
        <f>SUM(X151:X153)</f>
      </c>
      <c r="Y154" s="282">
        <f>X154</f>
      </c>
      <c r="Z154" s="281">
        <f>SUM(Z151:Z153)</f>
      </c>
      <c r="AA154" s="281">
        <f>SUM(AA151:AA153)</f>
      </c>
      <c r="AB154" s="281">
        <f>SUM(AB151:AB153)</f>
      </c>
      <c r="AC154" s="281">
        <f>SUM(AC151:AC153)</f>
      </c>
      <c r="AD154" s="282">
        <f>AC154</f>
      </c>
      <c r="AE154" s="282">
        <f>SUM(AE151:AE153)</f>
      </c>
      <c r="AF154" s="282">
        <f>SUM(AF151:AF153)</f>
      </c>
      <c r="AG154" s="282">
        <f>SUM(AG151:AG153)</f>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49">SUM(F145,F154)</f>
        <v>38237</v>
      </c>
      <c r="G156" s="353">
        <f>SUM(G145,G154)</f>
        <v>37105</v>
      </c>
      <c r="H156" s="353">
        <f>SUM(H145,H154)</f>
        <v>36713</v>
      </c>
      <c r="I156" s="353">
        <f>SUM(I145,I154)</f>
        <v>34508</v>
      </c>
      <c r="J156" s="282">
        <f>SUM(J145,J154)</f>
        <v>34508</v>
      </c>
      <c r="K156" s="353">
        <f>SUM(K145,K154)</f>
        <v>43219</v>
      </c>
      <c r="L156" s="353">
        <f>SUM(L145,L154)</f>
        <v>40695</v>
      </c>
      <c r="M156" s="353">
        <f>SUM(M145,M154)</f>
        <v>39764</v>
      </c>
      <c r="N156" s="353">
        <f>SUM(N145,N154)</f>
        <v>39471</v>
      </c>
      <c r="O156" s="282">
        <f>SUM(O145,O154)</f>
        <v>39471</v>
      </c>
      <c r="P156" s="353">
        <f>SUM(P145,P154)</f>
        <v>45832</v>
      </c>
      <c r="Q156" s="353">
        <f>SUM(Q145,Q154)</f>
        <v>51763</v>
      </c>
      <c r="R156" s="353">
        <f>SUM(R145,R154)</f>
        <v>50880</v>
      </c>
      <c r="S156" s="353">
        <f>SUM(S145,S154)</f>
        <v>46735</v>
      </c>
      <c r="T156" s="282">
        <f>SUM(T145,T154)</f>
        <v>46735</v>
      </c>
      <c r="U156" s="353">
        <f>SUM(U145,U154)</f>
        <v>51200</v>
      </c>
      <c r="V156" s="353">
        <f>SUM(V145,V154)</f>
        <v>49404</v>
      </c>
      <c r="W156" s="353">
        <f>SUM(W145,W154)</f>
        <v>49400</v>
      </c>
      <c r="X156" s="281">
        <f>SUM(X145,X154)</f>
      </c>
      <c r="Y156" s="282">
        <f>SUM(Y145,Y154)</f>
      </c>
      <c r="Z156" s="281">
        <f>SUM(Z145,Z154)</f>
      </c>
      <c r="AA156" s="281">
        <f>SUM(AA145,AA154)</f>
      </c>
      <c r="AB156" s="281">
        <f>SUM(AB145,AB154)</f>
      </c>
      <c r="AC156" s="281">
        <f>SUM(AC145,AC154)</f>
      </c>
      <c r="AD156" s="282">
        <f>SUM(AD145,AD154)</f>
      </c>
      <c r="AE156" s="282">
        <f>SUM(AE145,AE154)</f>
      </c>
      <c r="AF156" s="282">
        <f>SUM(AF145,AF154)</f>
      </c>
      <c r="AG156" s="282">
        <f>SUM(AG145,AG154)</f>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50">F132-F156</f>
        <v>0</v>
      </c>
      <c r="G158" s="402">
        <f>G132-G156</f>
      </c>
      <c r="H158" s="402">
        <f>H132-H156</f>
      </c>
      <c r="I158" s="402">
        <f>I132-I156</f>
      </c>
      <c r="J158" s="403">
        <f>J132-J156</f>
      </c>
      <c r="K158" s="402">
        <f>K132-K156</f>
      </c>
      <c r="L158" s="402">
        <f>L132-L156</f>
      </c>
      <c r="M158" s="402">
        <f>M132-M156</f>
      </c>
      <c r="N158" s="402">
        <f>N132-N156</f>
      </c>
      <c r="O158" s="403">
        <f>O132-O156</f>
      </c>
      <c r="P158" s="402">
        <f>P132-P156</f>
      </c>
      <c r="Q158" s="402">
        <f>Q132-Q156</f>
      </c>
      <c r="R158" s="402">
        <f>R132-R156</f>
      </c>
      <c r="S158" s="402">
        <f>S132-S156</f>
      </c>
      <c r="T158" s="403">
        <f>T132-T156</f>
      </c>
      <c r="U158" s="402">
        <f>U132-U156</f>
      </c>
      <c r="V158" s="402">
        <f>V132-V156</f>
      </c>
      <c r="W158" s="402">
        <f>W132-W156</f>
      </c>
      <c r="X158" s="404">
        <f>X132-X156</f>
      </c>
      <c r="Y158" s="403">
        <f>Y132-Y156</f>
      </c>
      <c r="Z158" s="404">
        <f>Z132-Z156</f>
      </c>
      <c r="AA158" s="404">
        <f>AA132-AA156</f>
      </c>
      <c r="AB158" s="404">
        <f>AB132-AB156</f>
      </c>
      <c r="AC158" s="404">
        <f>AC132-AC156</f>
      </c>
      <c r="AD158" s="403">
        <f>AD132-AD156</f>
      </c>
      <c r="AE158" s="403">
        <f>AE132-AE156</f>
      </c>
      <c r="AF158" s="403">
        <f>AF132-AF156</f>
      </c>
      <c r="AG158" s="405">
        <f>AG132-AG156</f>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t="str">
        <f>F$25</f>
        <v>1Q23</v>
      </c>
      <c r="G160" s="63" t="str">
        <f t="shared" ref="G160:AG160" si="251">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52">C121</f>
        <v>Accounts Receivable</v>
      </c>
      <c r="D162" s="16"/>
      <c r="E162" s="16"/>
      <c r="F162" s="353">
        <f t="shared" ref="F162:W162" si="253">F121</f>
        <v>0</v>
      </c>
      <c r="G162" s="353">
        <f>G121</f>
      </c>
      <c r="H162" s="353">
        <f>H121</f>
      </c>
      <c r="I162" s="353">
        <f>I121</f>
      </c>
      <c r="J162" s="282">
        <f>J121</f>
      </c>
      <c r="K162" s="353">
        <f>K121</f>
      </c>
      <c r="L162" s="353">
        <f>L121</f>
      </c>
      <c r="M162" s="353">
        <f>M121</f>
      </c>
      <c r="N162" s="353">
        <f>N121</f>
      </c>
      <c r="O162" s="282">
        <f>O121</f>
      </c>
      <c r="P162" s="353">
        <f>P121</f>
      </c>
      <c r="Q162" s="353">
        <f>Q121</f>
      </c>
      <c r="R162" s="353">
        <f>R121</f>
      </c>
      <c r="S162" s="353">
        <f>S121</f>
      </c>
      <c r="T162" s="282">
        <f>T121</f>
      </c>
      <c r="U162" s="353">
        <f>U121</f>
      </c>
      <c r="V162" s="353">
        <f>V121</f>
      </c>
      <c r="W162" s="353">
        <f>W121</f>
      </c>
      <c r="X162" s="281">
        <f>X182*X28/X$26</f>
        <v>0</v>
      </c>
      <c r="Y162" s="282">
        <f t="shared" ref="Y162:Y164" si="254">X162</f>
        <v>0</v>
      </c>
      <c r="Z162" s="281">
        <f t="shared" ref="Z162:AC162" si="255">Z182*Z28/Z$26</f>
        <v>0</v>
      </c>
      <c r="AA162" s="281">
        <f>AA182*AA28/AA$26</f>
      </c>
      <c r="AB162" s="281">
        <f>AB182*AB28/AB$26</f>
      </c>
      <c r="AC162" s="281">
        <f>AC182*AC28/AC$26</f>
      </c>
      <c r="AD162" s="282">
        <f t="shared" ref="AD162:AD164" si="256">AC162</f>
        <v>0</v>
      </c>
      <c r="AE162" s="282">
        <f t="shared" ref="AE162:AG162" si="257">AE182*AE28/AE$26</f>
        <v>0</v>
      </c>
      <c r="AF162" s="282">
        <f>AF182*AF28/AF$26</f>
      </c>
      <c r="AG162" s="282">
        <f>AG182*AG28/AG$26</f>
      </c>
      <c r="AH162" s="16"/>
      <c r="AI162" s="16"/>
      <c r="AJ162" s="16"/>
      <c r="AK162" s="16"/>
    </row>
    <row r="163" ht="13.5" customHeight="1" spans="1:37" x14ac:dyDescent="0.25">
      <c r="A163" s="264"/>
      <c r="B163" s="16"/>
      <c r="C163" s="139" t="str">
        <f>C122</f>
        <v>Inventory</v>
      </c>
      <c r="D163" s="16"/>
      <c r="E163" s="16"/>
      <c r="F163" s="384">
        <f t="shared" ref="F163:W163" si="258">F122</f>
        <v>13204</v>
      </c>
      <c r="G163" s="384">
        <f>G122</f>
        <v>11885</v>
      </c>
      <c r="H163" s="384">
        <f>H122</f>
        <v>12365</v>
      </c>
      <c r="I163" s="384">
        <f>I122</f>
        <v>12561</v>
      </c>
      <c r="J163" s="162">
        <f>J122</f>
        <v>12561</v>
      </c>
      <c r="K163" s="384">
        <f>K122</f>
        <v>15026</v>
      </c>
      <c r="L163" s="384">
        <f>L122</f>
        <v>13730</v>
      </c>
      <c r="M163" s="384">
        <f>M122</f>
        <v>13716</v>
      </c>
      <c r="N163" s="384">
        <f>N122</f>
        <v>13179</v>
      </c>
      <c r="O163" s="162">
        <f>O122</f>
        <v>13179</v>
      </c>
      <c r="P163" s="384">
        <f>P122</f>
        <v>14283</v>
      </c>
      <c r="Q163" s="384">
        <f>Q122</f>
        <v>13831</v>
      </c>
      <c r="R163" s="384">
        <f>R122</f>
        <v>15712</v>
      </c>
      <c r="S163" s="384">
        <f>S122</f>
        <v>16193</v>
      </c>
      <c r="T163" s="162">
        <f>T122</f>
        <v>16193</v>
      </c>
      <c r="U163" s="384">
        <f>U122</f>
        <v>18382</v>
      </c>
      <c r="V163" s="384">
        <f>V122</f>
        <v>17322</v>
      </c>
      <c r="W163" s="384">
        <f>W122</f>
        <v>16685</v>
      </c>
      <c r="X163" s="359">
        <f>X183*-X29/X$26</f>
        <v>18529.950326086957</v>
      </c>
      <c r="Y163" s="162">
        <f>X163</f>
        <v>18529.950326086957</v>
      </c>
      <c r="Z163" s="359">
        <f t="shared" ref="Z163:AC163" si="259">Z183*-Z29/Z$26</f>
        <v>23065.506292307695</v>
      </c>
      <c r="AA163" s="359">
        <f>AA183*-AA29/AA$26</f>
        <v>22014.14833107692</v>
      </c>
      <c r="AB163" s="359">
        <f>AB183*-AB29/AB$26</f>
        <v>20954.80490032696</v>
      </c>
      <c r="AC163" s="359">
        <f>AC183*-AC29/AC$26</f>
        <v>20718.783200747737</v>
      </c>
      <c r="AD163" s="162">
        <f>AC163</f>
        <v>20718.783200747737</v>
      </c>
      <c r="AE163" s="162">
        <f t="shared" ref="AE163:AG163" si="260">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61">F123</f>
        <v>1059</v>
      </c>
      <c r="G164" s="372">
        <f>G123</f>
        <v>956</v>
      </c>
      <c r="H164" s="372">
        <f>H123</f>
        <v>897</v>
      </c>
      <c r="I164" s="372">
        <f>I123</f>
        <v>938</v>
      </c>
      <c r="J164" s="355">
        <f>J123</f>
        <v>938</v>
      </c>
      <c r="K164" s="372">
        <f>K123</f>
        <v>1146</v>
      </c>
      <c r="L164" s="372">
        <f>L123</f>
        <v>995</v>
      </c>
      <c r="M164" s="372">
        <f>M123</f>
        <v>1025</v>
      </c>
      <c r="N164" s="372">
        <f>N123</f>
        <v>1263</v>
      </c>
      <c r="O164" s="355">
        <f>O123</f>
        <v>1263</v>
      </c>
      <c r="P164" s="372">
        <f>P123</f>
        <v>1487</v>
      </c>
      <c r="Q164" s="372">
        <f>Q123</f>
        <v>1160</v>
      </c>
      <c r="R164" s="372">
        <f>R123</f>
        <v>1103</v>
      </c>
      <c r="S164" s="372">
        <f>S123</f>
        <v>937</v>
      </c>
      <c r="T164" s="355">
        <f>T123</f>
        <v>937</v>
      </c>
      <c r="U164" s="372">
        <f>U123</f>
        <v>1288</v>
      </c>
      <c r="V164" s="372">
        <f>V123</f>
        <v>1506</v>
      </c>
      <c r="W164" s="372">
        <f>W123</f>
        <v>1491</v>
      </c>
      <c r="X164" s="356">
        <f>X186*X28*4</f>
        <v>0</v>
      </c>
      <c r="Y164" s="355">
        <f>X164</f>
      </c>
      <c r="Z164" s="356">
        <f t="shared" ref="Z164:AC164" si="262">Z186*Z28*4</f>
        <v>1849.7576159999996</v>
      </c>
      <c r="AA164" s="356">
        <f>AA186*AA28*4</f>
        <v>2108.72368224</v>
      </c>
      <c r="AB164" s="356">
        <f>AB186*AB28*4</f>
        <v>1855.6768403712</v>
      </c>
      <c r="AC164" s="356">
        <f>AC186*AC28*4</f>
        <v>1762.8929983526398</v>
      </c>
      <c r="AD164" s="355">
        <f>AC164</f>
        <v>1762.8929983526398</v>
      </c>
      <c r="AE164" s="355">
        <f t="shared" ref="AE164:AG164" si="263">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64">SUM(F162:F164)</f>
        <v>14263</v>
      </c>
      <c r="G165" s="353">
        <f>SUM(G162:G164)</f>
        <v>12841</v>
      </c>
      <c r="H165" s="353">
        <f>SUM(H162:H164)</f>
        <v>13262</v>
      </c>
      <c r="I165" s="353">
        <f>SUM(I162:I164)</f>
        <v>13499</v>
      </c>
      <c r="J165" s="282">
        <f>SUM(J162:J164)</f>
        <v>13499</v>
      </c>
      <c r="K165" s="353">
        <f>SUM(K162:K164)</f>
        <v>16172</v>
      </c>
      <c r="L165" s="353">
        <f>SUM(L162:L164)</f>
        <v>14725</v>
      </c>
      <c r="M165" s="353">
        <f>SUM(M162:M164)</f>
        <v>14741</v>
      </c>
      <c r="N165" s="353">
        <f>SUM(N162:N164)</f>
        <v>14442</v>
      </c>
      <c r="O165" s="282">
        <f>SUM(O162:O164)</f>
        <v>14442</v>
      </c>
      <c r="P165" s="353">
        <f>SUM(P162:P164)</f>
        <v>15770</v>
      </c>
      <c r="Q165" s="353">
        <f>SUM(Q162:Q164)</f>
        <v>14991</v>
      </c>
      <c r="R165" s="353">
        <f>SUM(R162:R164)</f>
        <v>16815</v>
      </c>
      <c r="S165" s="353">
        <f>SUM(S162:S164)</f>
        <v>17130</v>
      </c>
      <c r="T165" s="282">
        <f>SUM(T162:T164)</f>
        <v>17130</v>
      </c>
      <c r="U165" s="353">
        <f>SUM(U162:U164)</f>
        <v>19670</v>
      </c>
      <c r="V165" s="353">
        <f>SUM(V162:V164)</f>
        <v>18828</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65">C134</f>
        <v>Accounts Payable</v>
      </c>
      <c r="D167" s="16"/>
      <c r="E167" s="16"/>
      <c r="F167" s="353">
        <f t="shared" ref="F167:W167" si="266">F134</f>
        <v>10104</v>
      </c>
      <c r="G167" s="353">
        <f>G134</f>
        <v>8984</v>
      </c>
      <c r="H167" s="353">
        <f>H134</f>
        <v>9283</v>
      </c>
      <c r="I167" s="353">
        <f>I134</f>
        <v>8279</v>
      </c>
      <c r="J167" s="282">
        <f>J134</f>
        <v>8279</v>
      </c>
      <c r="K167" s="353">
        <f>K134</f>
        <v>11485</v>
      </c>
      <c r="L167" s="353">
        <f>L134</f>
        <v>9499</v>
      </c>
      <c r="M167" s="353">
        <f>M134</f>
        <v>8822</v>
      </c>
      <c r="N167" s="353">
        <f>N134</f>
        <v>7659</v>
      </c>
      <c r="O167" s="282">
        <f>O134</f>
        <v>7659</v>
      </c>
      <c r="P167" s="353">
        <f>P134</f>
        <v>10841</v>
      </c>
      <c r="Q167" s="353">
        <f>Q134</f>
        <v>12916</v>
      </c>
      <c r="R167" s="353">
        <f>R134</f>
        <v>12759</v>
      </c>
      <c r="S167" s="353">
        <f>S134</f>
        <v>10884</v>
      </c>
      <c r="T167" s="282">
        <f>T134</f>
        <v>10884</v>
      </c>
      <c r="U167" s="353">
        <f>U134</f>
        <v>13964</v>
      </c>
      <c r="V167" s="353">
        <f>V134</f>
        <v>12011</v>
      </c>
      <c r="W167" s="353">
        <f>W134</f>
        <v>11334</v>
      </c>
      <c r="X167" s="281">
        <f>X184*-X29/X26</f>
        <v>11323.858532608696</v>
      </c>
      <c r="Y167" s="282">
        <f t="shared" ref="Y167:Y169" si="267">X167</f>
        <v>11323.858532608696</v>
      </c>
      <c r="Z167" s="281">
        <f t="shared" ref="Z167:AC167" si="268">Z184*-Z29/Z26</f>
        <v>14082.098578461539</v>
      </c>
      <c r="AA167" s="281">
        <f>AA184*-AA29/AA26</f>
        <v>13208.488998646155</v>
      </c>
      <c r="AB167" s="281">
        <f>AB184*-AB29/AB26</f>
        <v>13065.937173145043</v>
      </c>
      <c r="AC167" s="281">
        <f>AC184*-AC29/AC26</f>
        <v>12661.478622679173</v>
      </c>
      <c r="AD167" s="282">
        <f t="shared" ref="AD167:AD169" si="269">AC167</f>
        <v>12661.478622679173</v>
      </c>
      <c r="AE167" s="282">
        <f t="shared" ref="AE167:AG167" si="270">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71">F135</f>
        <v>715</v>
      </c>
      <c r="G168" s="384">
        <f>G135</f>
        <v>671</v>
      </c>
      <c r="H168" s="384">
        <f>H135</f>
        <v>806</v>
      </c>
      <c r="I168" s="384">
        <f>I135</f>
        <v>662</v>
      </c>
      <c r="J168" s="162">
        <f>J135</f>
        <v>662</v>
      </c>
      <c r="K168" s="384">
        <f>K135</f>
        <v>769</v>
      </c>
      <c r="L168" s="384">
        <f>L135</f>
        <v>717</v>
      </c>
      <c r="M168" s="384">
        <f>M135</f>
        <v>779</v>
      </c>
      <c r="N168" s="384">
        <f>N135</f>
        <v>684</v>
      </c>
      <c r="O168" s="162">
        <f>O135</f>
        <v>684</v>
      </c>
      <c r="P168" s="384">
        <f>P135</f>
        <v>982</v>
      </c>
      <c r="Q168" s="384">
        <f>Q135</f>
        <v>1139</v>
      </c>
      <c r="R168" s="384">
        <f>R135</f>
        <v>1117</v>
      </c>
      <c r="S168" s="384">
        <f>S135</f>
        <v>2411</v>
      </c>
      <c r="T168" s="162">
        <f>T135</f>
        <v>2411</v>
      </c>
      <c r="U168" s="384">
        <f>U135</f>
        <v>1312</v>
      </c>
      <c r="V168" s="384">
        <f>V135</f>
        <v>1331</v>
      </c>
      <c r="W168" s="384">
        <f>W135</f>
        <v>1353</v>
      </c>
      <c r="X168" s="359">
        <f>X187*-X29*4</f>
        <v>947.08635</v>
      </c>
      <c r="Y168" s="162">
        <f>X168</f>
        <v>947.08635</v>
      </c>
      <c r="Z168" s="359">
        <f t="shared" ref="Z168:AC168" si="272">Z187*-Z29*4</f>
        <v>1104.716354</v>
      </c>
      <c r="AA168" s="359">
        <f>AA187*-AA29*4</f>
        <v>1252.05468633</v>
      </c>
      <c r="AB168" s="359">
        <f>AB187*-AB29*4</f>
        <v>1134.0247357824</v>
      </c>
      <c r="AC168" s="359">
        <f>AC187*-AC29*4</f>
        <v>1058.9600302604401</v>
      </c>
      <c r="AD168" s="162">
        <f>AC168</f>
        <v>1058.9600302604401</v>
      </c>
      <c r="AE168" s="162">
        <f t="shared" ref="AE168:AG168" si="273">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74">F136</f>
        <v>4059</v>
      </c>
      <c r="G169" s="372">
        <f>G136</f>
        <v>4032</v>
      </c>
      <c r="H169" s="372">
        <f>H136</f>
        <v>3863</v>
      </c>
      <c r="I169" s="372">
        <f>I136</f>
        <v>4446</v>
      </c>
      <c r="J169" s="355">
        <f>J136</f>
        <v>4446</v>
      </c>
      <c r="K169" s="372">
        <f>K136</f>
        <v>4519</v>
      </c>
      <c r="L169" s="372">
        <f>L136</f>
        <v>4610</v>
      </c>
      <c r="M169" s="372">
        <f>M136</f>
        <v>4888</v>
      </c>
      <c r="N169" s="372">
        <f>N136</f>
        <v>6242</v>
      </c>
      <c r="O169" s="355">
        <f>O136</f>
        <v>6242</v>
      </c>
      <c r="P169" s="372">
        <f>P136</f>
        <v>5898</v>
      </c>
      <c r="Q169" s="372">
        <f>Q136</f>
        <v>6706</v>
      </c>
      <c r="R169" s="372">
        <f>R136</f>
        <v>5079</v>
      </c>
      <c r="S169" s="372">
        <f>S136</f>
        <v>3614</v>
      </c>
      <c r="T169" s="355">
        <f>T136</f>
        <v>3614</v>
      </c>
      <c r="U169" s="372">
        <f>U136</f>
        <v>6278</v>
      </c>
      <c r="V169" s="372">
        <f>V136</f>
        <v>6978</v>
      </c>
      <c r="W169" s="372">
        <f>W136</f>
        <v>6795</v>
      </c>
      <c r="X169" s="356">
        <f>X188*-X29*4</f>
        <v>9470.8635</v>
      </c>
      <c r="Y169" s="355">
        <f>X169</f>
        <v>9470.8635</v>
      </c>
      <c r="Z169" s="356">
        <f t="shared" ref="Z169:AC169" si="275">Z188*-Z29*4</f>
        <v>9721.503915199999</v>
      </c>
      <c r="AA169" s="356">
        <f>AA188*-AA29*4</f>
        <v>11018.081239704</v>
      </c>
      <c r="AB169" s="356">
        <f>AB188*-AB29*4</f>
        <v>11340.247357824</v>
      </c>
      <c r="AC169" s="356">
        <f>AC188*-AC29*4</f>
        <v>10589.6003026044</v>
      </c>
      <c r="AD169" s="355">
        <f>AC169</f>
        <v>10589.6003026044</v>
      </c>
      <c r="AE169" s="355">
        <f t="shared" ref="AE169:AG169" si="276">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77">SUM(F167:F169)</f>
        <v>14878</v>
      </c>
      <c r="G170" s="353">
        <f>SUM(G167:G169)</f>
        <v>13687</v>
      </c>
      <c r="H170" s="353">
        <f>SUM(H167:H169)</f>
        <v>13952</v>
      </c>
      <c r="I170" s="353">
        <f>SUM(I167:I169)</f>
        <v>13387</v>
      </c>
      <c r="J170" s="282">
        <f>SUM(J167:J169)</f>
        <v>13387</v>
      </c>
      <c r="K170" s="353">
        <f>SUM(K167:K169)</f>
        <v>16773</v>
      </c>
      <c r="L170" s="353">
        <f>SUM(L167:L169)</f>
        <v>14826</v>
      </c>
      <c r="M170" s="353">
        <f>SUM(M167:M169)</f>
        <v>14489</v>
      </c>
      <c r="N170" s="353">
        <f>SUM(N167:N169)</f>
        <v>14585</v>
      </c>
      <c r="O170" s="282">
        <f>SUM(O167:O169)</f>
        <v>14585</v>
      </c>
      <c r="P170" s="353">
        <f>SUM(P167:P169)</f>
        <v>17721</v>
      </c>
      <c r="Q170" s="353">
        <f>SUM(Q167:Q169)</f>
        <v>20761</v>
      </c>
      <c r="R170" s="353">
        <f>SUM(R167:R169)</f>
        <v>18955</v>
      </c>
      <c r="S170" s="353">
        <f>SUM(S167:S169)</f>
        <v>16909</v>
      </c>
      <c r="T170" s="282">
        <f>SUM(T167:T169)</f>
        <v>16909</v>
      </c>
      <c r="U170" s="353">
        <f>SUM(U167:U169)</f>
        <v>21554</v>
      </c>
      <c r="V170" s="353">
        <f>SUM(V167:V169)</f>
        <v>20320</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78">F165-F170</f>
        <v>-615</v>
      </c>
      <c r="G172" s="353">
        <f>G165-G170</f>
        <v>-846</v>
      </c>
      <c r="H172" s="353">
        <f>H165-H170</f>
        <v>-690</v>
      </c>
      <c r="I172" s="353">
        <f>I165-I170</f>
        <v>112</v>
      </c>
      <c r="J172" s="282">
        <f>J165-J170</f>
        <v>112</v>
      </c>
      <c r="K172" s="353">
        <f>K165-K170</f>
        <v>-601</v>
      </c>
      <c r="L172" s="353">
        <f>L165-L170</f>
        <v>-101</v>
      </c>
      <c r="M172" s="353">
        <f>M165-M170</f>
        <v>252</v>
      </c>
      <c r="N172" s="353">
        <f>N165-N170</f>
        <v>-143</v>
      </c>
      <c r="O172" s="282">
        <f>O165-O170</f>
        <v>-143</v>
      </c>
      <c r="P172" s="353">
        <f>P165-P170</f>
        <v>-1951</v>
      </c>
      <c r="Q172" s="353">
        <f>Q165-Q170</f>
        <v>-5770</v>
      </c>
      <c r="R172" s="353">
        <f>R165-R170</f>
        <v>-2140</v>
      </c>
      <c r="S172" s="353">
        <f>S165-S170</f>
        <v>221</v>
      </c>
      <c r="T172" s="282">
        <f>T165-T170</f>
        <v>221</v>
      </c>
      <c r="U172" s="353">
        <f>U165-U170</f>
        <v>-1884</v>
      </c>
      <c r="V172" s="353">
        <f>V165-V170</f>
        <v>-1492</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79">G172-F172</f>
        <v>-231</v>
      </c>
      <c r="H174" s="388">
        <f>H172-G172</f>
        <v>156</v>
      </c>
      <c r="I174" s="388">
        <f>I172-H172</f>
        <v>802</v>
      </c>
      <c r="J174" s="100"/>
      <c r="K174" s="388">
        <f t="shared" ref="K174:N174" si="280">-(K172-J172)</f>
        <v>713</v>
      </c>
      <c r="L174" s="388">
        <f>-(L172-K172)</f>
        <v>-500</v>
      </c>
      <c r="M174" s="388">
        <f>-(M172-L172)</f>
        <v>-353</v>
      </c>
      <c r="N174" s="388">
        <f>-(N172-M172)</f>
        <v>395</v>
      </c>
      <c r="O174" s="389">
        <f>-(O172-J172)</f>
        <v>255</v>
      </c>
      <c r="P174" s="388">
        <f t="shared" ref="P174:S174" si="281">-(P172-O172)</f>
        <v>1808</v>
      </c>
      <c r="Q174" s="388">
        <f>-(Q172-P172)</f>
        <v>3819</v>
      </c>
      <c r="R174" s="388">
        <f>-(R172-Q172)</f>
        <v>-3630</v>
      </c>
      <c r="S174" s="388">
        <f>-(S172-R172)</f>
        <v>-2361</v>
      </c>
      <c r="T174" s="389">
        <f>-(T172-O172)</f>
        <v>-364</v>
      </c>
      <c r="U174" s="388">
        <f t="shared" ref="U174:X174" si="282">-(U172-T172)</f>
        <v>2105</v>
      </c>
      <c r="V174" s="388">
        <f>-(V172-U172)</f>
        <v>-392</v>
      </c>
      <c r="W174" s="388">
        <f>-(W172-V172)</f>
        <v>-186</v>
      </c>
      <c r="X174" s="390">
        <f>-(X172-W172)</f>
        <v>1905.858056521738</v>
      </c>
      <c r="Y174" s="389">
        <f>-(Y172-T172)</f>
        <v>3432.858056521738</v>
      </c>
      <c r="Z174" s="390">
        <f t="shared" ref="Z174:AC174" si="283">-(Z172-Y172)</f>
        <v>-3218.803117167892</v>
      </c>
      <c r="AA174" s="390">
        <f>-(AA172-Z172)</f>
        <v>1362.6979720093877</v>
      </c>
      <c r="AB174" s="390">
        <f>-(AB172-AA172)</f>
        <v>1373.9746146900507</v>
      </c>
      <c r="AC174" s="390">
        <f>-(AC172-AB172)</f>
        <v>-901.3647696096486</v>
      </c>
      <c r="AD174" s="389">
        <f>-(AD172-Y172)</f>
        <v>-1383.4953000781024</v>
      </c>
      <c r="AE174" s="389">
        <f t="shared" ref="AE174:AG174" si="284">-(AE172-AD172)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85">F162+F163-F167</f>
        <v>3100</v>
      </c>
      <c r="G176" s="353">
        <f>G162+G163-G167</f>
        <v>2901</v>
      </c>
      <c r="H176" s="353">
        <f>H162+H163-H167</f>
        <v>3082</v>
      </c>
      <c r="I176" s="353">
        <f>I162+I163-I167</f>
        <v>4282</v>
      </c>
      <c r="J176" s="282">
        <f>J162+J163-J167</f>
        <v>4282</v>
      </c>
      <c r="K176" s="353">
        <f>K162+K163-K167</f>
        <v>3541</v>
      </c>
      <c r="L176" s="353">
        <f>L162+L163-L167</f>
        <v>4231</v>
      </c>
      <c r="M176" s="353">
        <f>M162+M163-M167</f>
        <v>4894</v>
      </c>
      <c r="N176" s="353">
        <f>N162+N163-N167</f>
        <v>5520</v>
      </c>
      <c r="O176" s="282">
        <f>O162+O163-O167</f>
        <v>5520</v>
      </c>
      <c r="P176" s="353">
        <f>P162+P163-P167</f>
        <v>3442</v>
      </c>
      <c r="Q176" s="353">
        <f>Q162+Q163-Q167</f>
        <v>915</v>
      </c>
      <c r="R176" s="353">
        <f>R162+R163-R167</f>
        <v>2953</v>
      </c>
      <c r="S176" s="353">
        <f>S162+S163-S167</f>
        <v>5309</v>
      </c>
      <c r="T176" s="282">
        <f>T162+T163-T167</f>
        <v>5309</v>
      </c>
      <c r="U176" s="353">
        <f>U162+U163-U167</f>
        <v>4418</v>
      </c>
      <c r="V176" s="353">
        <f>V162+V163-V167</f>
        <v>5311</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86">G176-F176</f>
        <v>-199</v>
      </c>
      <c r="H178" s="388">
        <f>H176-G176</f>
        <v>181</v>
      </c>
      <c r="I178" s="388">
        <f>I176-H176</f>
        <v>1200</v>
      </c>
      <c r="J178" s="100"/>
      <c r="K178" s="388">
        <f t="shared" ref="K178:N178" si="287">-(K176-J176)</f>
        <v>741</v>
      </c>
      <c r="L178" s="388">
        <f>-(L176-K176)</f>
        <v>-690</v>
      </c>
      <c r="M178" s="388">
        <f>-(M176-L176)</f>
        <v>-663</v>
      </c>
      <c r="N178" s="388">
        <f>-(N176-M176)</f>
        <v>-626</v>
      </c>
      <c r="O178" s="389">
        <f>-(O176-J176)</f>
        <v>-1238</v>
      </c>
      <c r="P178" s="388">
        <f t="shared" ref="P178:S178" si="288">-(P176-O176)</f>
        <v>2078</v>
      </c>
      <c r="Q178" s="388">
        <f>-(Q176-P176)</f>
        <v>2527</v>
      </c>
      <c r="R178" s="388">
        <f>-(R176-Q176)</f>
        <v>-2038</v>
      </c>
      <c r="S178" s="388">
        <f>-(S176-R176)</f>
        <v>-2356</v>
      </c>
      <c r="T178" s="389">
        <f>-(T176-O176)</f>
        <v>211</v>
      </c>
      <c r="U178" s="388">
        <f t="shared" ref="U178:X178" si="289">-(U176-T176)</f>
        <v>891</v>
      </c>
      <c r="V178" s="388">
        <f>-(V176-U176)</f>
        <v>-893</v>
      </c>
      <c r="W178" s="388">
        <f>-(W176-V176)</f>
        <v>-40</v>
      </c>
      <c r="X178" s="390">
        <f>-(X176-W176)</f>
        <v>-1855.091793478261</v>
      </c>
      <c r="Y178" s="389">
        <f>-(Y176-T176)</f>
        <v>-1897.091793478261</v>
      </c>
      <c r="Z178" s="390">
        <f t="shared" ref="Z178:AC178" si="290">-(Z176-Y176)</f>
        <v>-1777.3159203678952</v>
      </c>
      <c r="AA178" s="390">
        <f>-(AA176-Z176)</f>
        <v>177.7483814153893</v>
      </c>
      <c r="AB178" s="390">
        <f>-(AB176-AA176)</f>
        <v>916.7916052488508</v>
      </c>
      <c r="AC178" s="390">
        <f>-(AC176-AB176)</f>
        <v>-168.43685088664824</v>
      </c>
      <c r="AD178" s="389">
        <f>-(AD176-Y176)</f>
        <v>-851.2127845903033</v>
      </c>
      <c r="AE178" s="389">
        <f t="shared" ref="AE178:AG178" si="291">-(AE176-AD176)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92">AVERAGE(F162:G162)/G$28*G$26</f>
        <v>0</v>
      </c>
      <c r="H182" s="384">
        <f>AVERAGE(G162:H162)/H$28*H$26</f>
      </c>
      <c r="I182" s="384">
        <f>AVERAGE(H162:I162)/I$28*I$26</f>
      </c>
      <c r="J182" s="162">
        <f>AVERAGE(F162:I162)/J$28*J$26</f>
        <v>0</v>
      </c>
      <c r="K182" s="382">
        <f>AVERAGE(I162,K162)/K$28*K$26</f>
        <v>0</v>
      </c>
      <c r="L182" s="384">
        <f t="shared" ref="L182:N182" si="293">AVERAGE(K162:L162)/L$28*L$26</f>
        <v>0</v>
      </c>
      <c r="M182" s="384">
        <f>AVERAGE(L162:M162)/M$28*M$26</f>
      </c>
      <c r="N182" s="384">
        <f>AVERAGE(M162:N162)/N$28*N$26</f>
      </c>
      <c r="O182" s="162">
        <f>AVERAGE(J162,O162)/O$28*O$26</f>
        <v>0</v>
      </c>
      <c r="P182" s="382">
        <f>AVERAGE(N162,P162)/P$28*P$26</f>
        <v>0</v>
      </c>
      <c r="Q182" s="384">
        <f t="shared" ref="Q182:S182" si="294">AVERAGE(P162:Q162)/Q$28*Q$26</f>
        <v>0</v>
      </c>
      <c r="R182" s="384">
        <f>AVERAGE(Q162:R162)/R$28*R$26</f>
      </c>
      <c r="S182" s="384">
        <f>AVERAGE(R162:S162)/S$28*S$26</f>
      </c>
      <c r="T182" s="162">
        <f>AVERAGE(O162,T162)/T$28*T$26</f>
        <v>0</v>
      </c>
      <c r="U182" s="382">
        <f>AVERAGE(S162,U162)/U$28*U$26</f>
        <v>0</v>
      </c>
      <c r="V182" s="384">
        <f t="shared" ref="V182:W182" si="295">AVERAGE(U162:V162)/V$28*V$26</f>
        <v>0</v>
      </c>
      <c r="W182" s="384">
        <f>AVERAGE(V162:W162)/W$28*W$26</f>
      </c>
      <c r="X182" s="361">
        <f>Drivers!X113</f>
        <v>0</v>
      </c>
      <c r="Y182" s="162">
        <f>AVERAGE(T162,Y162)/Y$28*Y$26</f>
        <v>0</v>
      </c>
      <c r="Z182" s="361">
        <f>Drivers!Z113</f>
        <v>0</v>
      </c>
      <c r="AA182" s="361">
        <f>Drivers!AA113</f>
        <v>0</v>
      </c>
      <c r="AB182" s="361">
        <f>Drivers!AB113</f>
        <v>0</v>
      </c>
      <c r="AC182" s="361">
        <f>Drivers!AC113</f>
        <v>0</v>
      </c>
      <c r="AD182" s="162">
        <f>AVERAGE(Y162,AD162)/AD$28*AD$26</f>
        <v>0</v>
      </c>
      <c r="AE182" s="362">
        <f>Drivers!AE113</f>
        <v>0</v>
      </c>
      <c r="AF182" s="362">
        <f>Drivers!AF113</f>
        <v>0</v>
      </c>
      <c r="AG182" s="362">
        <f>Drivers!AG113</f>
        <v>0</v>
      </c>
      <c r="AH182" s="16"/>
      <c r="AI182" s="16"/>
      <c r="AJ182" s="16"/>
      <c r="AK182" s="16"/>
    </row>
    <row r="183" ht="13.5" customHeight="1" spans="1:37" x14ac:dyDescent="0.25">
      <c r="A183" s="264"/>
      <c r="B183" s="16"/>
      <c r="C183" s="16" t="s">
        <v>368</v>
      </c>
      <c r="D183" s="16"/>
      <c r="E183" s="16"/>
      <c r="F183" s="382"/>
      <c r="G183" s="384">
        <f t="shared" ref="G183:I183" si="296">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97">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98">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99">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300">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301">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302">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303">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304">SUM(G182:G183)-G184</f>
        <v>19.946343779677107</v>
      </c>
      <c r="H185" s="384">
        <f>SUM(H182:H183)-H184</f>
        <v>23.41284559761803</v>
      </c>
      <c r="I185" s="384">
        <f>SUM(I182:I183)-I184</f>
        <v>29.179429752778006</v>
      </c>
      <c r="J185" s="162">
        <f>SUM(J182:J183)-J184</f>
        <v>25.26595524885849</v>
      </c>
      <c r="K185" s="382">
        <f>SUM(K182:K183)-K184</f>
        <v>28.95024671052633</v>
      </c>
      <c r="L185" s="384">
        <f>SUM(L182:L183)-L184</f>
        <v>24.812377210216113</v>
      </c>
      <c r="M185" s="384">
        <f>SUM(M182:M183)-M184</f>
        <v>35.7294858699353</v>
      </c>
      <c r="N185" s="384">
        <f>SUM(N182:N183)-N184</f>
        <v>43.37202354006337</v>
      </c>
      <c r="O185" s="162">
        <f>SUM(O182:O183)-O184</f>
        <v>36.35535006605019</v>
      </c>
      <c r="P185" s="382">
        <f>SUM(P182:P183)-P184</f>
        <v>30.640480170186905</v>
      </c>
      <c r="Q185" s="384">
        <f>SUM(Q182:Q183)-Q184</f>
        <v>11.014751639071015</v>
      </c>
      <c r="R185" s="384">
        <f>SUM(R182:R183)-R184</f>
        <v>11.854753814378043</v>
      </c>
      <c r="S185" s="384">
        <f>SUM(S182:S183)-S184</f>
        <v>27.450487540628387</v>
      </c>
      <c r="T185" s="162">
        <f>SUM(T182:T183)-T184</f>
        <v>32.930524544273</v>
      </c>
      <c r="U185" s="382">
        <f>SUM(U182:U183)-U184</f>
        <v>26.866867174073164</v>
      </c>
      <c r="V185" s="384">
        <f>SUM(V182:V183)-V184</f>
        <v>24.245234965494575</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305">F164/(4*F28)</f>
        <v>0.015250576036866359</v>
      </c>
      <c r="G186" s="410">
        <f>G164/(4*G28)</f>
        <v>0.011441976254308693</v>
      </c>
      <c r="H186" s="410">
        <f>H164/(4*H28)</f>
        <v>0.012876830318690784</v>
      </c>
      <c r="I186" s="410">
        <f>I164/(4*I28)</f>
        <v>0.014987856321104435</v>
      </c>
      <c r="J186" s="214">
        <f>J164/(J28)</f>
        <v>0.01315401982919407</v>
      </c>
      <c r="K186" s="410">
        <f t="shared" ref="K186:N186" si="306">K164/(4*K28)</f>
        <v>0.016149033312665578</v>
      </c>
      <c r="L186" s="410">
        <f>L164/(4*L28)</f>
        <v>0.011849752286585366</v>
      </c>
      <c r="M186" s="410">
        <f>M164/(4*M28)</f>
        <v>0.01473717506326202</v>
      </c>
      <c r="N186" s="410">
        <f>N164/(4*N28)</f>
        <v>0.01970112934423161</v>
      </c>
      <c r="O186" s="214">
        <f>O164/(O28)</f>
        <v>0.01750568276320896</v>
      </c>
      <c r="P186" s="410">
        <f t="shared" ref="P186:S186" si="307">P164/(4*P28)</f>
        <v>0.018894536213468868</v>
      </c>
      <c r="Q186" s="410">
        <f>Q164/(4*Q28)</f>
        <v>0.010621932459160502</v>
      </c>
      <c r="R186" s="410">
        <f>R164/(4*R28)</f>
        <v>0.012360482316553857</v>
      </c>
      <c r="S186" s="410">
        <f>S164/(4*S28)</f>
        <v>0.011533159371768992</v>
      </c>
      <c r="T186" s="214">
        <f>T164/(T28)</f>
        <v>0.010457939439936606</v>
      </c>
      <c r="U186" s="410">
        <f t="shared" ref="U186:W186" si="308">U164/(4*U28)</f>
        <v>0.01318483334698223</v>
      </c>
      <c r="V186" s="410">
        <f>V164/(4*V28)</f>
        <v>0.013656147986942329</v>
      </c>
      <c r="W186" s="410">
        <f>W164/(4*W28)</f>
        <v>0.016264508246792913</v>
      </c>
      <c r="X186" s="411">
        <f>Drivers!X123</f>
        <v>0</v>
      </c>
      <c r="Y186" s="214">
        <f>Y164/(Y28)</f>
        <v>0</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309">F168/(4*-F29)</f>
        <v>0.015751674303842087</v>
      </c>
      <c r="G187" s="410">
        <f>G168/(4*-G29)</f>
        <v>0.012254364818467383</v>
      </c>
      <c r="H187" s="410">
        <f>H168/(4*-H29)</f>
        <v>0.017141641854529988</v>
      </c>
      <c r="I187" s="410">
        <f>I168/(4*-I29)</f>
        <v>0.014256180549573607</v>
      </c>
      <c r="J187" s="214">
        <f>J168/(-J29)</f>
        <v>0.013677403359434723</v>
      </c>
      <c r="K187" s="410">
        <f t="shared" ref="K187:N187" si="310">K168/(4*-K29)</f>
        <v>0.015810032894736842</v>
      </c>
      <c r="L187" s="410">
        <f>L168/(4*-L29)</f>
        <v>0.012577182149873701</v>
      </c>
      <c r="M187" s="410">
        <f>M168/(4*-M29)</f>
        <v>0.016577289751447056</v>
      </c>
      <c r="N187" s="410">
        <f>N168/(4*-N29)</f>
        <v>0.015482118605703938</v>
      </c>
      <c r="O187" s="214">
        <f>O168/(-O29)</f>
        <v>0.01390102631846357</v>
      </c>
      <c r="P187" s="410">
        <f t="shared" ref="P187:S187" si="311">P168/(4*-P29)</f>
        <v>0.01865218051967786</v>
      </c>
      <c r="Q187" s="410">
        <f>Q168/(4*-Q29)</f>
        <v>0.015821202355817313</v>
      </c>
      <c r="R187" s="410">
        <f>R168/(4*-R29)</f>
        <v>0.018605503364647877</v>
      </c>
      <c r="S187" s="410">
        <f>S168/(4*-S29)</f>
        <v>0.04353557240881185</v>
      </c>
      <c r="T187" s="214">
        <f>T168/(-T29)</f>
        <v>0.040173959409471126</v>
      </c>
      <c r="U187" s="410">
        <f t="shared" ref="U187:W187" si="312">U168/(4*-U29)</f>
        <v>0.020132580407561995</v>
      </c>
      <c r="V187" s="410">
        <f>V168/(4*-V29)</f>
        <v>0.01822488772045131</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313">F169/(4*-F29)</f>
        <v>0.08942104335565738</v>
      </c>
      <c r="G188" s="410">
        <f>G169/(4*-G29)</f>
        <v>0.07363576594345825</v>
      </c>
      <c r="H188" s="410">
        <f>H169/(4*-H29)</f>
        <v>0.08215652913653765</v>
      </c>
      <c r="I188" s="410">
        <f>I169/(4*-I29)</f>
        <v>0.09574468085106383</v>
      </c>
      <c r="J188" s="214">
        <f>J169/(-J29)</f>
        <v>0.0918576062478048</v>
      </c>
      <c r="K188" s="410">
        <f t="shared" ref="K188:N188" si="314">K169/(4*-K29)</f>
        <v>0.09290707236842105</v>
      </c>
      <c r="L188" s="410">
        <f>L169/(4*-L29)</f>
        <v>0.08086584339040134</v>
      </c>
      <c r="M188" s="410">
        <f>M169/(4*-M29)</f>
        <v>0.10401770514130065</v>
      </c>
      <c r="N188" s="410">
        <f>N169/(4*-N29)</f>
        <v>0.1412856496152105</v>
      </c>
      <c r="O188" s="214">
        <f>O169/(-O29)</f>
        <v>0.12685702672492633</v>
      </c>
      <c r="P188" s="410">
        <f t="shared" ref="P188:S188" si="315">P169/(4*-P29)</f>
        <v>0.11202704756116091</v>
      </c>
      <c r="Q188" s="410">
        <f>Q169/(4*-Q29)</f>
        <v>0.09314923880431158</v>
      </c>
      <c r="R188" s="410">
        <f>R169/(4*-R29)</f>
        <v>0.08459924045572656</v>
      </c>
      <c r="S188" s="410">
        <f>S169/(4*-S29)</f>
        <v>0.06525821596244132</v>
      </c>
      <c r="T188" s="214">
        <f>T169/(-T29)</f>
        <v>0.060219282167494254</v>
      </c>
      <c r="U188" s="410">
        <f t="shared" ref="U188:W188" si="316">U169/(4*-U29)</f>
        <v>0.09633562484655045</v>
      </c>
      <c r="V188" s="410">
        <f>V169/(4*-V29)</f>
        <v>0.09554715741045021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t="str">
        <f>F$25</f>
        <v>1Q23</v>
      </c>
      <c r="G190" s="63" t="str">
        <f t="shared" ref="G190:AG190" si="317">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0</v>
      </c>
      <c r="Z192" s="281">
        <f t="shared" ref="Z192:AC192" si="318">Y196</f>
        <v>18963.9382</v>
      </c>
      <c r="AA192" s="281">
        <f>Z196</f>
        <v>19248.6551535</v>
      </c>
      <c r="AB192" s="281">
        <f>AA196</f>
        <v>19556.13592455375</v>
      </c>
      <c r="AC192" s="281">
        <f>AB196</f>
        <v>19652.04946651726</v>
      </c>
      <c r="AD192" s="282">
        <f>Y196</f>
        <v>18963.9382</v>
      </c>
      <c r="AE192" s="282">
        <f t="shared" ref="AE192:AG192" si="319">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20">SUM(F193:I193)</f>
        <v>1174</v>
      </c>
      <c r="K193" s="413">
        <v>205</v>
      </c>
      <c r="L193" s="413">
        <v>321</v>
      </c>
      <c r="M193" s="413">
        <v>401</v>
      </c>
      <c r="N193" s="413">
        <v>557</v>
      </c>
      <c r="O193" s="329">
        <f t="shared" ref="O193:O195" si="321">SUM(K193:N193)</f>
        <v>1484</v>
      </c>
      <c r="P193" s="413">
        <v>328</v>
      </c>
      <c r="Q193" s="413">
        <v>382</v>
      </c>
      <c r="R193" s="413">
        <v>462</v>
      </c>
      <c r="S193" s="413">
        <v>557</v>
      </c>
      <c r="T193" s="329">
        <f t="shared" ref="T193:T195" si="322">SUM(P193:S193)</f>
        <v>1729</v>
      </c>
      <c r="U193" s="413">
        <v>461</v>
      </c>
      <c r="V193" s="413">
        <f>846-U193</f>
        <v>385</v>
      </c>
      <c r="W193" s="413">
        <f>1256-SUM(U193:V193)</f>
        <v>410</v>
      </c>
      <c r="X193" s="330">
        <f>X200*X28</f>
        <v>370.1257</v>
      </c>
      <c r="Y193" s="329">
        <f t="shared" ref="Y193:Y195" si="323">SUM(U193:X193)</f>
        <v>1626.1257</v>
      </c>
      <c r="Z193" s="330">
        <f t="shared" ref="Z193:AC193" si="324">Z200*Z28</f>
        <v>616.585872</v>
      </c>
      <c r="AA193" s="330">
        <f>AA200*AA28</f>
        <v>644.3322362399999</v>
      </c>
      <c r="AB193" s="330">
        <f>AB200*AB28</f>
        <v>438.14592064320004</v>
      </c>
      <c r="AC193" s="330">
        <f>AC200*AC28</f>
        <v>416.23862461104</v>
      </c>
      <c r="AD193" s="329">
        <f t="shared" ref="AD193:AD195" si="325">SUM(Z193:AC193)</f>
        <v>2115.30265349424</v>
      </c>
      <c r="AE193" s="329">
        <f t="shared" ref="AE193:AG193" si="326">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-1477</v>
      </c>
      <c r="K194" s="358"/>
      <c r="L194" s="358"/>
      <c r="M194" s="358"/>
      <c r="N194" s="358"/>
      <c r="O194" s="366">
        <f>SUM(K194:N194)</f>
        <v>-1262</v>
      </c>
      <c r="P194" s="358"/>
      <c r="Q194" s="358"/>
      <c r="R194" s="358"/>
      <c r="S194" s="358"/>
      <c r="T194" s="366">
        <f>SUM(P194:S194)</f>
        <v>-1398</v>
      </c>
      <c r="U194" s="358"/>
      <c r="V194" s="358">
        <f>-409+207</f>
        <v>-202</v>
      </c>
      <c r="W194" s="358">
        <f>-425+216</f>
        <v>-209</v>
      </c>
      <c r="X194" s="359">
        <f>-X201*X192/4</f>
        <v>-331.18750000000006</v>
      </c>
      <c r="Y194" s="329">
        <f>SUM(U194:X194)</f>
        <v>-1133.1875</v>
      </c>
      <c r="Z194" s="359">
        <f t="shared" ref="Z194:AC194" si="327">-Z201*Z192/4</f>
        <v>-331.86891850000006</v>
      </c>
      <c r="AA194" s="359">
        <f>-AA201*AA192/4</f>
        <v>-336.85146518625004</v>
      </c>
      <c r="AB194" s="359">
        <f>-AB201*AB192/4</f>
        <v>-342.23237867969067</v>
      </c>
      <c r="AC194" s="359">
        <f>-AC201*AC192/4</f>
        <v>-343.91086566405204</v>
      </c>
      <c r="AD194" s="329">
        <f>SUM(Z194:AC194)</f>
        <v>-1354.863628029993</v>
      </c>
      <c r="AE194" s="162">
        <f t="shared" ref="AE194:AG194" si="328">-AE201*AE192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c>
      <c r="K195" s="354">
        <v>0</v>
      </c>
      <c r="L195" s="354">
        <v>0</v>
      </c>
      <c r="M195" s="354">
        <v>0</v>
      </c>
      <c r="N195" s="354">
        <v>0</v>
      </c>
      <c r="O195" s="414">
        <f>SUM(K195:N195)</f>
      </c>
      <c r="P195" s="354">
        <v>0</v>
      </c>
      <c r="Q195" s="354">
        <v>0</v>
      </c>
      <c r="R195" s="354">
        <v>0</v>
      </c>
      <c r="S195" s="354">
        <v>0</v>
      </c>
      <c r="T195" s="414">
        <f>SUM(P195:S195)</f>
      </c>
      <c r="U195" s="354">
        <v>-64</v>
      </c>
      <c r="V195" s="354">
        <f>-78-U195</f>
        <v>-14</v>
      </c>
      <c r="W195" s="354">
        <v>0</v>
      </c>
      <c r="X195" s="385">
        <f>-Drivers!X97</f>
        <v>0</v>
      </c>
      <c r="Y195" s="414">
        <f>SUM(U195:X195)</f>
        <v>-78</v>
      </c>
      <c r="Z195" s="385">
        <f>-Drivers!Z97</f>
        <v>0</v>
      </c>
      <c r="AA195" s="385">
        <f>-Drivers!AA97</f>
        <v>0</v>
      </c>
      <c r="AB195" s="385">
        <f>-Drivers!AB97</f>
        <v>0</v>
      </c>
      <c r="AC195" s="385">
        <f>-Drivers!AC97</f>
        <v>0</v>
      </c>
      <c r="AD195" s="414">
        <f>SUM(Z195:AC195)</f>
      </c>
      <c r="AE195" s="391">
        <f>-Drivers!AE97</f>
        <v>0</v>
      </c>
      <c r="AF195" s="391">
        <f>-Drivers!AF97</f>
        <v>0</v>
      </c>
      <c r="AG195" s="391">
        <f>-Drivers!AG97</f>
        <v>0</v>
      </c>
      <c r="AH195" s="16"/>
      <c r="AI195" s="16"/>
      <c r="AJ195" s="16"/>
      <c r="AK195" s="16"/>
    </row>
    <row r="196" ht="13.5" customHeight="1" spans="1:37" x14ac:dyDescent="0.25">
      <c r="A196" s="264"/>
      <c r="B196" s="16"/>
      <c r="C196" s="16" t="s">
        <v>377</v>
      </c>
      <c r="D196" s="16"/>
      <c r="E196" s="16"/>
      <c r="F196" s="353">
        <f t="shared" ref="F196:W196" si="329">F126</f>
        <v>19500</v>
      </c>
      <c r="G196" s="353">
        <f>G126</f>
        <v>19172</v>
      </c>
      <c r="H196" s="353">
        <f>H126</f>
        <v>18923</v>
      </c>
      <c r="I196" s="353">
        <f>I126</f>
        <v>18432</v>
      </c>
      <c r="J196" s="282">
        <f>J126</f>
        <v>18432</v>
      </c>
      <c r="K196" s="353">
        <f>K126</f>
        <v>18150</v>
      </c>
      <c r="L196" s="353">
        <f>L126</f>
        <v>18203</v>
      </c>
      <c r="M196" s="353">
        <f>M126</f>
        <v>18371</v>
      </c>
      <c r="N196" s="353">
        <f>N126</f>
        <v>18669</v>
      </c>
      <c r="O196" s="282">
        <f>O126</f>
        <v>18669</v>
      </c>
      <c r="P196" s="353">
        <f>P126</f>
        <v>18501</v>
      </c>
      <c r="Q196" s="353">
        <f>Q126</f>
        <v>18612</v>
      </c>
      <c r="R196" s="353">
        <f>R126</f>
        <v>18683</v>
      </c>
      <c r="S196" s="353">
        <f>S126</f>
        <v>22987</v>
      </c>
      <c r="T196" s="282">
        <f>T126</f>
        <v>22987</v>
      </c>
      <c r="U196" s="353">
        <f>U126</f>
        <v>19059</v>
      </c>
      <c r="V196" s="353">
        <f>V126</f>
        <v>19031</v>
      </c>
      <c r="W196" s="353">
        <f>W126</f>
        <v>18925</v>
      </c>
      <c r="X196" s="281">
        <f>SUM(X192:X195)</f>
        <v>18963.9382</v>
      </c>
      <c r="Y196" s="282">
        <f>X196</f>
        <v>18963.9382</v>
      </c>
      <c r="Z196" s="281">
        <f t="shared" ref="Z196:AG196" si="330">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31">F193/F28</f>
        <v>0.012903225806451613</v>
      </c>
      <c r="G200" s="410">
        <f>G193/G28</f>
        <v>0.015271926464955956</v>
      </c>
      <c r="H200" s="410">
        <f>H193/H28</f>
        <v>0.01739879414298019</v>
      </c>
      <c r="I200" s="410">
        <f>I193/I28</f>
        <v>0.020963824619711108</v>
      </c>
      <c r="J200" s="214">
        <f>J193/J28</f>
        <v>0.016463559999439062</v>
      </c>
      <c r="K200" s="410">
        <f>K193/K28</f>
        <v>0.011555154726340116</v>
      </c>
      <c r="L200" s="410">
        <f>L193/L28</f>
        <v>0.015291539634146341</v>
      </c>
      <c r="M200" s="410">
        <f>M193/M28</f>
        <v>0.02306188175753393</v>
      </c>
      <c r="N200" s="410">
        <f>N193/N28</f>
        <v>0.03475385287327635</v>
      </c>
      <c r="O200" s="214">
        <f>O193/O28</f>
        <v>0.020568830736818762</v>
      </c>
      <c r="P200" s="410">
        <f>P193/P28</f>
        <v>0.016670902160101652</v>
      </c>
      <c r="Q200" s="410">
        <f>Q193/Q28</f>
        <v>0.013991648963445902</v>
      </c>
      <c r="R200" s="410">
        <f>R193/R28</f>
        <v>0.02070913084405397</v>
      </c>
      <c r="S200" s="410">
        <f>S193/S28</f>
        <v>0.02742356358623406</v>
      </c>
      <c r="T200" s="214">
        <f>T193/T28</f>
        <v>0.019297521122359006</v>
      </c>
      <c r="U200" s="410">
        <f>U193/U28</f>
        <v>0.018876422897387602</v>
      </c>
      <c r="V200" s="410">
        <f>V193/V28</f>
        <v>0.013964454116793616</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32">-G194*4/AVERAGE(F196:G196)</f>
        <v>0.07136946628051304</v>
      </c>
      <c r="H201" s="410">
        <f>-H194*4/AVERAGE(G196:H196)</f>
        <v>0.09093056831605198</v>
      </c>
      <c r="I201" s="410">
        <f>-I194*4/AVERAGE(H196:I196)</f>
        <v>0.07260072279480659</v>
      </c>
      <c r="J201" s="214">
        <f>-J194/AVERAGE(F196:I196)</f>
        <v>0.07770923487708314</v>
      </c>
      <c r="K201" s="410">
        <f t="shared" ref="K201:N201" si="333">-K194*4/AVERAGE(J196:K196)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34">-P194*4/AVERAGE(O196:P196)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35">-U194*4/AVERAGE(T196:U196)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36">-F194/F28</f>
        <v>0.020737327188940093</v>
      </c>
      <c r="G202" s="410">
        <f>-G194/G28</f>
        <v>0.016516660283416317</v>
      </c>
      <c r="H202" s="410">
        <f>-H194/H28</f>
        <v>0.024863623313235717</v>
      </c>
      <c r="I202" s="410">
        <f>-I194/I28</f>
        <v>0.021666879713664836</v>
      </c>
      <c r="J202" s="214">
        <f>-J194/J28</f>
        <v>0.020712673014626485</v>
      </c>
      <c r="K202" s="410">
        <f>-K194/K28</f>
        <v>0.017022715743193733</v>
      </c>
      <c r="L202" s="410">
        <f>-L194/L28</f>
        <v>0.014815167682926829</v>
      </c>
      <c r="M202" s="410">
        <f>-M194/M28</f>
        <v>0.017828387393604785</v>
      </c>
      <c r="N202" s="410">
        <f>-N194/N28</f>
        <v>0.021151806326823484</v>
      </c>
      <c r="O202" s="214">
        <f>-O194/O28</f>
        <v>0.017491822365138326</v>
      </c>
      <c r="P202" s="410">
        <f>-P194/P28</f>
        <v>0.01656925031766201</v>
      </c>
      <c r="Q202" s="410">
        <f>-Q194/Q28</f>
        <v>0.01197714453153615</v>
      </c>
      <c r="R202" s="410">
        <f>-R194/R28</f>
        <v>0.015912860280604242</v>
      </c>
      <c r="S202" s="410">
        <f>-S194/S28</f>
        <v>0.019201417950864063</v>
      </c>
      <c r="T202" s="214">
        <f>-T194/T28</f>
        <v>0.015603201000033482</v>
      </c>
      <c r="U202" s="410">
        <f>-U194/U28</f>
        <v>0.016010154778478423</v>
      </c>
      <c r="V202" s="410">
        <f>-V194/V28</f>
        <v>0.007326804497642365</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t="str">
        <f>F$25</f>
        <v>1Q23</v>
      </c>
      <c r="G204" s="63" t="str">
        <f t="shared" ref="G204:AG204" si="337">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38">E210</f>
        <v>0</v>
      </c>
      <c r="G206" s="353">
        <f>F210</f>
      </c>
      <c r="H206" s="353">
        <f>G210</f>
      </c>
      <c r="I206" s="353">
        <f>H210</f>
      </c>
      <c r="J206" s="282">
        <f>F206</f>
        <v>0</v>
      </c>
      <c r="K206" s="353">
        <f t="shared" ref="K206:N206" si="339">J210</f>
        <v>0</v>
      </c>
      <c r="L206" s="353">
        <f>K210</f>
      </c>
      <c r="M206" s="353">
        <f>L210</f>
      </c>
      <c r="N206" s="353">
        <f>M210</f>
      </c>
      <c r="O206" s="282">
        <f>K206</f>
        <v>0</v>
      </c>
      <c r="P206" s="353">
        <f t="shared" ref="P206:S206" si="340">O210</f>
        <v>0</v>
      </c>
      <c r="Q206" s="353">
        <f>P210</f>
      </c>
      <c r="R206" s="353">
        <f>Q210</f>
      </c>
      <c r="S206" s="353">
        <f>R210</f>
      </c>
      <c r="T206" s="282">
        <f>P206</f>
        <v>0</v>
      </c>
      <c r="U206" s="353">
        <f t="shared" ref="U206:X206" si="341">T210</f>
        <v>0</v>
      </c>
      <c r="V206" s="353">
        <f>U210</f>
      </c>
      <c r="W206" s="353">
        <f>V210</f>
      </c>
      <c r="X206" s="281">
        <f>W210</f>
      </c>
      <c r="Y206" s="282">
        <f>U206</f>
        <v>0</v>
      </c>
      <c r="Z206" s="281">
        <f t="shared" ref="Z206:AC206" si="342">Y210</f>
        <v>0</v>
      </c>
      <c r="AA206" s="281">
        <f>Z210</f>
      </c>
      <c r="AB206" s="281">
        <f>AA210</f>
      </c>
      <c r="AC206" s="281">
        <f>AB210</f>
      </c>
      <c r="AD206" s="282">
        <f>Z206</f>
        <v>0</v>
      </c>
      <c r="AE206" s="282">
        <f t="shared" ref="AE206:AG206" si="343">AD210</f>
        <v>0</v>
      </c>
      <c r="AF206" s="282">
        <f>AE210</f>
      </c>
      <c r="AG206" s="282">
        <f>AF210</f>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44">SUM(F207:I207)</f>
        <v>0</v>
      </c>
      <c r="K207" s="413">
        <v>0</v>
      </c>
      <c r="L207" s="413">
        <v>0</v>
      </c>
      <c r="M207" s="413">
        <v>0</v>
      </c>
      <c r="N207" s="413">
        <v>0</v>
      </c>
      <c r="O207" s="329">
        <f t="shared" ref="O207:O209" si="345">SUM(K207:N207)</f>
        <v>0</v>
      </c>
      <c r="P207" s="413">
        <v>0</v>
      </c>
      <c r="Q207" s="413">
        <v>0</v>
      </c>
      <c r="R207" s="413">
        <v>0</v>
      </c>
      <c r="S207" s="413">
        <v>0</v>
      </c>
      <c r="T207" s="329">
        <f t="shared" ref="T207:T209" si="346">SUM(P207:S207)</f>
        <v>0</v>
      </c>
      <c r="U207" s="413">
        <v>0</v>
      </c>
      <c r="V207" s="413">
        <v>0</v>
      </c>
      <c r="W207" s="413">
        <v>0</v>
      </c>
      <c r="X207" s="417">
        <f>W207</f>
        <v>0</v>
      </c>
      <c r="Y207" s="329">
        <f t="shared" ref="Y207:Y209" si="347">SUM(U207:X207)</f>
        <v>0</v>
      </c>
      <c r="Z207" s="417">
        <f t="shared" ref="Z207:AC207" si="348">Y207</f>
        <v>0</v>
      </c>
      <c r="AA207" s="417">
        <f>Z207</f>
      </c>
      <c r="AB207" s="417">
        <f>AA207</f>
      </c>
      <c r="AC207" s="417">
        <f>AB207</f>
      </c>
      <c r="AD207" s="329">
        <f t="shared" ref="AD207:AD209" si="349">SUM(Z207:AC207)</f>
        <v>0</v>
      </c>
      <c r="AE207" s="418">
        <f t="shared" ref="AE207:AG207" si="350">AD207</f>
        <v>0</v>
      </c>
      <c r="AF207" s="418">
        <f>AE207</f>
      </c>
      <c r="AG207" s="418">
        <f>AF207</f>
      </c>
      <c r="AH207" s="16"/>
      <c r="AI207" s="16"/>
      <c r="AJ207" s="16"/>
      <c r="AK207" s="16"/>
    </row>
    <row r="208" ht="13.5" customHeight="1" spans="1:37" x14ac:dyDescent="0.25">
      <c r="A208" s="264"/>
      <c r="B208" s="16"/>
      <c r="C208" s="139" t="s">
        <v>383</v>
      </c>
      <c r="D208" s="16"/>
      <c r="E208" s="16"/>
      <c r="F208" s="328">
        <f t="shared" ref="F208:I208" si="351">F34-F194</f>
        <v>0</v>
      </c>
      <c r="G208" s="328">
        <f>G34-G194</f>
      </c>
      <c r="H208" s="328">
        <f>H34-H194</f>
      </c>
      <c r="I208" s="328">
        <f>I34-I194</f>
      </c>
      <c r="J208" s="329">
        <f>SUM(F208:I208)</f>
      </c>
      <c r="K208" s="328">
        <f t="shared" ref="K208:N208" si="352">K34-K194</f>
        <v>0</v>
      </c>
      <c r="L208" s="328">
        <f>L34-L194</f>
      </c>
      <c r="M208" s="328">
        <f>M34-M194</f>
      </c>
      <c r="N208" s="328">
        <f>N34-N194</f>
      </c>
      <c r="O208" s="329">
        <f>SUM(K208:N208)</f>
      </c>
      <c r="P208" s="328">
        <f t="shared" ref="P208:S208" si="353">P34-P194</f>
        <v>0</v>
      </c>
      <c r="Q208" s="328">
        <f>Q34-Q194</f>
      </c>
      <c r="R208" s="328">
        <f>R34-R194</f>
      </c>
      <c r="S208" s="328">
        <f>S34-S194</f>
      </c>
      <c r="T208" s="329">
        <f>SUM(P208:S208)</f>
      </c>
      <c r="U208" s="328">
        <f t="shared" ref="U208:W208" si="354">U34-U194</f>
        <v>0</v>
      </c>
      <c r="V208" s="328">
        <f>V34-V194</f>
        <v>-207</v>
      </c>
      <c r="W208" s="328">
        <f>W34-W194</f>
        <v>-216</v>
      </c>
      <c r="X208" s="330">
        <f>X214*X206/4</f>
        <v>0</v>
      </c>
      <c r="Y208" s="329">
        <f>SUM(U208:X208)</f>
        <v>-423</v>
      </c>
      <c r="Z208" s="330">
        <f t="shared" ref="Z208:AC208" si="355">Z214*Z206/4</f>
        <v>0</v>
      </c>
      <c r="AA208" s="330">
        <f>AA214*AA206/4</f>
      </c>
      <c r="AB208" s="330">
        <f>AB214*AB206/4</f>
      </c>
      <c r="AC208" s="330">
        <f>AC214*AC206/4</f>
      </c>
      <c r="AD208" s="329">
        <f>SUM(Z208:AC208)</f>
      </c>
      <c r="AE208" s="329">
        <f t="shared" ref="AE208:AG208" si="356">AE214*AE206</f>
        <v>0</v>
      </c>
      <c r="AF208" s="329">
        <f>AF214*AF206</f>
      </c>
      <c r="AG208" s="329">
        <f>AG214*AG206</f>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c>
      <c r="K209" s="419">
        <v>0</v>
      </c>
      <c r="L209" s="419">
        <v>0</v>
      </c>
      <c r="M209" s="419">
        <v>0</v>
      </c>
      <c r="N209" s="419">
        <v>0</v>
      </c>
      <c r="O209" s="414">
        <f>SUM(K209:N209)</f>
      </c>
      <c r="P209" s="419">
        <v>0</v>
      </c>
      <c r="Q209" s="419">
        <v>0</v>
      </c>
      <c r="R209" s="419">
        <v>0</v>
      </c>
      <c r="S209" s="419">
        <v>0</v>
      </c>
      <c r="T209" s="414">
        <f>SUM(P209:S209)</f>
      </c>
      <c r="U209" s="419">
        <v>0</v>
      </c>
      <c r="V209" s="419">
        <v>0</v>
      </c>
      <c r="W209" s="419">
        <v>0</v>
      </c>
      <c r="X209" s="420">
        <f>W209</f>
        <v>0</v>
      </c>
      <c r="Y209" s="414">
        <f>SUM(U209:X209)</f>
      </c>
      <c r="Z209" s="420">
        <f t="shared" ref="Z209:AC209" si="357">Y209</f>
        <v>0</v>
      </c>
      <c r="AA209" s="420">
        <f>Z209</f>
      </c>
      <c r="AB209" s="420">
        <f>AA209</f>
      </c>
      <c r="AC209" s="420">
        <f>AB209</f>
      </c>
      <c r="AD209" s="414">
        <f>SUM(Z209:AC209)</f>
      </c>
      <c r="AE209" s="421">
        <f t="shared" ref="AE209:AG209" si="358">AD209</f>
        <v>0</v>
      </c>
      <c r="AF209" s="421">
        <f>AE209</f>
      </c>
      <c r="AG209" s="421">
        <f>AF209</f>
      </c>
      <c r="AH209" s="16"/>
      <c r="AI209" s="16"/>
      <c r="AJ209" s="16"/>
      <c r="AK209" s="16"/>
    </row>
    <row r="210" ht="13.5" customHeight="1" spans="1:37" x14ac:dyDescent="0.25">
      <c r="A210" s="264"/>
      <c r="B210" s="16"/>
      <c r="C210" s="16" t="s">
        <v>385</v>
      </c>
      <c r="D210" s="16"/>
      <c r="E210" s="16"/>
      <c r="F210" s="353">
        <f t="shared" ref="F210:W210" si="359">F127</f>
        <v>0</v>
      </c>
      <c r="G210" s="353">
        <f>G127</f>
      </c>
      <c r="H210" s="353">
        <f>H127</f>
      </c>
      <c r="I210" s="353">
        <f>I127</f>
      </c>
      <c r="J210" s="282">
        <f>J127</f>
      </c>
      <c r="K210" s="353">
        <f>K127</f>
      </c>
      <c r="L210" s="353">
        <f>L127</f>
      </c>
      <c r="M210" s="353">
        <f>M127</f>
      </c>
      <c r="N210" s="353">
        <f>N127</f>
      </c>
      <c r="O210" s="282">
        <f>O127</f>
      </c>
      <c r="P210" s="353">
        <f>P127</f>
      </c>
      <c r="Q210" s="353">
        <f>Q127</f>
      </c>
      <c r="R210" s="353">
        <f>R127</f>
      </c>
      <c r="S210" s="353">
        <f>S127</f>
      </c>
      <c r="T210" s="282">
        <f>T127</f>
      </c>
      <c r="U210" s="353">
        <f>U127</f>
      </c>
      <c r="V210" s="353">
        <f>V127</f>
      </c>
      <c r="W210" s="353">
        <f>W127</f>
      </c>
      <c r="X210" s="281">
        <f>SUM(X206:X209)</f>
        <v>0</v>
      </c>
      <c r="Y210" s="282">
        <f>X210</f>
        <v>0</v>
      </c>
      <c r="Z210" s="281">
        <f t="shared" ref="Z210:AC210" si="360">SUM(Z206:Z209)</f>
        <v>0</v>
      </c>
      <c r="AA210" s="281">
        <f>SUM(AA206:AA209)</f>
      </c>
      <c r="AB210" s="281">
        <f>SUM(AB206:AB209)</f>
      </c>
      <c r="AC210" s="281">
        <f>SUM(AC206:AC209)</f>
      </c>
      <c r="AD210" s="282">
        <f>AC210</f>
        <v>0</v>
      </c>
      <c r="AE210" s="282">
        <f t="shared" ref="AE210:AG210" si="361">SUM(AE206:AE209)</f>
        <v>0</v>
      </c>
      <c r="AF210" s="282">
        <f>SUM(AF206:AF209)</f>
      </c>
      <c r="AG210" s="282">
        <f>SUM(AG206:AG209)</f>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62">4*-G208/AVERAGE(F210:G210)</f>
        <v>#DIV/0!</v>
      </c>
      <c r="H214" s="397" t="e">
        <f>4*-H208/AVERAGE(G210:H210)</f>
        <v>#DIV/0!</v>
      </c>
      <c r="I214" s="397" t="e">
        <f>4*-I208/AVERAGE(H210:I210)</f>
        <v>#DIV/0!</v>
      </c>
      <c r="J214" s="398" t="e">
        <f>J208/AVERAGE(F206,I210)</f>
        <v>#DIV/0!</v>
      </c>
      <c r="K214" s="397" t="e">
        <f t="shared" ref="K214:N214" si="363">4*-K208/AVERAGE(J210:K210)</f>
        <v>#DIV/0!</v>
      </c>
      <c r="L214" s="397" t="e">
        <f>4*-L208/AVERAGE(K210:L210)</f>
        <v>#DIV/0!</v>
      </c>
      <c r="M214" s="397" t="e">
        <f>4*-M208/AVERAGE(L210:M210)</f>
        <v>#DIV/0!</v>
      </c>
      <c r="N214" s="397" t="e">
        <f>4*-N208/AVERAGE(M210:N210)</f>
        <v>#DIV/0!</v>
      </c>
      <c r="O214" s="398" t="e">
        <f>O208/AVERAGE(K206,N210)</f>
        <v>#DIV/0!</v>
      </c>
      <c r="P214" s="397" t="e">
        <f t="shared" ref="P214:S214" si="364">4*-P208/AVERAGE(O210:P210)</f>
        <v>#DIV/0!</v>
      </c>
      <c r="Q214" s="397" t="e">
        <f>4*-Q208/AVERAGE(P210:Q210)</f>
        <v>#DIV/0!</v>
      </c>
      <c r="R214" s="397" t="e">
        <f>4*-R208/AVERAGE(Q210:R210)</f>
        <v>#DIV/0!</v>
      </c>
      <c r="S214" s="397" t="e">
        <f>4*-S208/AVERAGE(R210:S210)</f>
        <v>#DIV/0!</v>
      </c>
      <c r="T214" s="398" t="e">
        <f>T208/AVERAGE(P206,S210)</f>
        <v>#DIV/0!</v>
      </c>
      <c r="U214" s="397" t="e">
        <f t="shared" ref="U214:W214" si="365">4*-U208/AVERAGE(T210:U210)</f>
        <v>#DIV/0!</v>
      </c>
      <c r="V214" s="397" t="e">
        <f>4*-V208/AVERAGE(U210:V210)</f>
        <v>#DIV/0!</v>
      </c>
      <c r="W214" s="397" t="e">
        <f>4*-W208/AVERAGE(V210:W210)</f>
        <v>#DIV/0!</v>
      </c>
      <c r="X214" s="422">
        <f>Drivers!X85</f>
        <v>0</v>
      </c>
      <c r="Y214" s="398" t="e">
        <f>Y208/AVERAGE(U206,X210)</f>
        <v>#DIV/0!</v>
      </c>
      <c r="Z214" s="422">
        <f>Drivers!Z85</f>
        <v>0</v>
      </c>
      <c r="AA214" s="422">
        <f>Drivers!AA85</f>
        <v>0</v>
      </c>
      <c r="AB214" s="422">
        <f>Drivers!AB85</f>
        <v>0</v>
      </c>
      <c r="AC214" s="422">
        <f>Drivers!AC85</f>
        <v>0</v>
      </c>
      <c r="AD214" s="398" t="e">
        <f>AD208/AVERAGE(Z206,AC210)</f>
        <v>#DIV/0!</v>
      </c>
      <c r="AE214" s="423">
        <f>Drivers!AE85</f>
        <v>0</v>
      </c>
      <c r="AF214" s="423">
        <f>Drivers!AF85</f>
        <v>0</v>
      </c>
      <c r="AG214" s="423">
        <f>Drivers!AG85</f>
        <v>0</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t="str">
        <f>F$25</f>
        <v>1Q23</v>
      </c>
      <c r="G216" s="63" t="str">
        <f t="shared" ref="G216:AG216" si="366">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67">F128</f>
        <v>1288</v>
      </c>
      <c r="G218" s="353">
        <f>G128</f>
        <v>1271</v>
      </c>
      <c r="H218" s="353">
        <f>H128</f>
        <v>1272</v>
      </c>
      <c r="I218" s="353">
        <f>I128</f>
        <v>303</v>
      </c>
      <c r="J218" s="282">
        <f>J128</f>
        <v>303</v>
      </c>
      <c r="K218" s="353">
        <f>K128</f>
        <v>303</v>
      </c>
      <c r="L218" s="353">
        <f>L128</f>
        <v>303</v>
      </c>
      <c r="M218" s="353">
        <f>M128</f>
        <v>303</v>
      </c>
      <c r="N218" s="353">
        <f>N128</f>
        <v>303</v>
      </c>
      <c r="O218" s="282">
        <f>O128</f>
        <v>303</v>
      </c>
      <c r="P218" s="353">
        <f>P128</f>
      </c>
      <c r="Q218" s="353">
        <f>Q128</f>
      </c>
      <c r="R218" s="353">
        <f>R128</f>
      </c>
      <c r="S218" s="353">
        <f>S128</f>
        <v>311</v>
      </c>
      <c r="T218" s="282">
        <f>T128</f>
        <v>311</v>
      </c>
      <c r="U218" s="353">
        <f>U128</f>
      </c>
      <c r="V218" s="353">
        <f>V128</f>
      </c>
      <c r="W218" s="353">
        <f>W128</f>
      </c>
      <c r="X218" s="281">
        <f>Drivers!X62+W218</f>
        <v>0</v>
      </c>
      <c r="Y218" s="282">
        <f t="shared" ref="Y218:Y219" si="368">X218</f>
        <v>0</v>
      </c>
      <c r="Z218" s="281">
        <f>Drivers!Z62+Y218</f>
        <v>0</v>
      </c>
      <c r="AA218" s="281">
        <f>Drivers!AA62+Z218</f>
        <v>0</v>
      </c>
      <c r="AB218" s="281">
        <f>Drivers!AB62+AA218</f>
        <v>0</v>
      </c>
      <c r="AC218" s="281">
        <f>Drivers!AC62+AB218</f>
        <v>0</v>
      </c>
      <c r="AD218" s="282">
        <f t="shared" ref="AD218:AD219" si="369">AC218</f>
        <v>0</v>
      </c>
      <c r="AE218" s="282">
        <f>Drivers!AE62+AD218</f>
        <v>0</v>
      </c>
      <c r="AF218" s="282">
        <f>Drivers!AF62+AE218</f>
        <v>0</v>
      </c>
      <c r="AG218" s="282">
        <f>Drivers!AG62+AF218</f>
        <v>0</v>
      </c>
      <c r="AH218" s="16"/>
      <c r="AI218" s="16"/>
      <c r="AJ218" s="16"/>
      <c r="AK218" s="16"/>
    </row>
    <row r="219" ht="13.5" customHeight="1" spans="1:37" x14ac:dyDescent="0.25">
      <c r="A219" s="264"/>
      <c r="B219" s="16"/>
      <c r="C219" s="139" t="s">
        <v>338</v>
      </c>
      <c r="D219" s="16"/>
      <c r="E219" s="16"/>
      <c r="F219" s="372">
        <f t="shared" ref="F219:W219" si="370">F129</f>
        <v>1416</v>
      </c>
      <c r="G219" s="372">
        <f>G129</f>
        <v>1179</v>
      </c>
      <c r="H219" s="372">
        <f>H129</f>
        <v>1380</v>
      </c>
      <c r="I219" s="372">
        <f>I129</f>
        <v>1545</v>
      </c>
      <c r="J219" s="355">
        <f>J129</f>
        <v>1545</v>
      </c>
      <c r="K219" s="372">
        <f>K129</f>
        <v>5431</v>
      </c>
      <c r="L219" s="372">
        <f>L129</f>
        <v>5393</v>
      </c>
      <c r="M219" s="372">
        <f>M129</f>
        <v>5428</v>
      </c>
      <c r="N219" s="372">
        <f>N129</f>
        <v>5181</v>
      </c>
      <c r="O219" s="355">
        <f>O129</f>
        <v>5181</v>
      </c>
      <c r="P219" s="372">
        <f>P129</f>
        <v>5405</v>
      </c>
      <c r="Q219" s="372">
        <f>Q129</f>
        <v>5434</v>
      </c>
      <c r="R219" s="372">
        <f>R129</f>
        <v>5281</v>
      </c>
      <c r="S219" s="372">
        <f>S129</f>
        <v>1111</v>
      </c>
      <c r="T219" s="355">
        <f>T129</f>
        <v>1111</v>
      </c>
      <c r="U219" s="372">
        <f>U129</f>
        <v>5325</v>
      </c>
      <c r="V219" s="372">
        <f>V129</f>
        <v>5290</v>
      </c>
      <c r="W219" s="372">
        <f>W129</f>
        <v>5626</v>
      </c>
      <c r="X219" s="356">
        <f>W219*(1+X232)</f>
        <v>5738.52</v>
      </c>
      <c r="Y219" s="355">
        <f>X219</f>
        <v>5738.52</v>
      </c>
      <c r="Z219" s="356">
        <f t="shared" ref="Z219:AC219" si="371">Y219*(1+Z232)</f>
        <v>5853.290400000001</v>
      </c>
      <c r="AA219" s="356">
        <f>Z219*(1+AA232)</f>
        <v>5970.356208000001</v>
      </c>
      <c r="AB219" s="356">
        <f>AA219*(1+AB232)</f>
        <v>6089.7633321600015</v>
      </c>
      <c r="AC219" s="356">
        <f>AB219*(1+AC232)</f>
        <v>6211.558598803202</v>
      </c>
      <c r="AD219" s="355">
        <f>AC219</f>
        <v>6211.558598803202</v>
      </c>
      <c r="AE219" s="355">
        <f t="shared" ref="AE219:AG219" si="372">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73">SUM(F218:F219)</f>
        <v>2704</v>
      </c>
      <c r="G220" s="353">
        <f>SUM(G218:G219)</f>
        <v>2450</v>
      </c>
      <c r="H220" s="353">
        <f>SUM(H218:H219)</f>
        <v>2652</v>
      </c>
      <c r="I220" s="353">
        <f>SUM(I218:I219)</f>
        <v>1848</v>
      </c>
      <c r="J220" s="282">
        <f>SUM(J218:J219)</f>
        <v>1848</v>
      </c>
      <c r="K220" s="353">
        <f>SUM(K218:K219)</f>
        <v>5734</v>
      </c>
      <c r="L220" s="353">
        <f>SUM(L218:L219)</f>
        <v>5696</v>
      </c>
      <c r="M220" s="353">
        <f>SUM(M218:M219)</f>
        <v>5731</v>
      </c>
      <c r="N220" s="353">
        <f>SUM(N218:N219)</f>
        <v>5484</v>
      </c>
      <c r="O220" s="282">
        <f>SUM(O218:O219)</f>
        <v>5484</v>
      </c>
      <c r="P220" s="353">
        <f>SUM(P218:P219)</f>
        <v>5405</v>
      </c>
      <c r="Q220" s="353">
        <f>SUM(Q218:Q219)</f>
        <v>5434</v>
      </c>
      <c r="R220" s="353">
        <f>SUM(R218:R219)</f>
        <v>5281</v>
      </c>
      <c r="S220" s="353">
        <f>SUM(S218:S219)</f>
        <v>1422</v>
      </c>
      <c r="T220" s="282">
        <f>SUM(T218:T219)</f>
        <v>1422</v>
      </c>
      <c r="U220" s="353">
        <f>SUM(U218:U219)</f>
        <v>5325</v>
      </c>
      <c r="V220" s="353">
        <f>SUM(V218:V219)</f>
        <v>5290</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74">G220-F220</f>
        <v>-254</v>
      </c>
      <c r="H221" s="425">
        <f>H220-G220</f>
        <v>202</v>
      </c>
      <c r="I221" s="425">
        <f>I220-H220</f>
        <v>-804</v>
      </c>
      <c r="J221" s="426"/>
      <c r="K221" s="425">
        <f t="shared" ref="K221:N221" si="375">K220-J220</f>
        <v>3886</v>
      </c>
      <c r="L221" s="425">
        <f>L220-K220</f>
        <v>-38</v>
      </c>
      <c r="M221" s="425">
        <f>M220-L220</f>
        <v>35</v>
      </c>
      <c r="N221" s="425">
        <f>N220-M220</f>
        <v>-247</v>
      </c>
      <c r="O221" s="426">
        <f>O220-J220</f>
        <v>3636</v>
      </c>
      <c r="P221" s="425">
        <f t="shared" ref="P221:S221" si="376">P220-O220</f>
        <v>-79</v>
      </c>
      <c r="Q221" s="425">
        <f>Q220-P220</f>
        <v>29</v>
      </c>
      <c r="R221" s="425">
        <f>R220-Q220</f>
        <v>-153</v>
      </c>
      <c r="S221" s="425">
        <f>S220-R220</f>
        <v>-3859</v>
      </c>
      <c r="T221" s="426">
        <f>T220-O220</f>
        <v>-4062</v>
      </c>
      <c r="U221" s="425">
        <f t="shared" ref="U221:X221" si="377">U220-T220</f>
        <v>3903</v>
      </c>
      <c r="V221" s="425">
        <f>V220-U220</f>
        <v>-35</v>
      </c>
      <c r="W221" s="425">
        <f>W220-V220</f>
        <v>336</v>
      </c>
      <c r="X221" s="427">
        <f>X220-W220</f>
        <v>112.52000000000044</v>
      </c>
      <c r="Y221" s="426">
        <f>Y220-T220</f>
        <v>4316.52</v>
      </c>
      <c r="Z221" s="427">
        <f t="shared" ref="Z221:AC221" si="378">Z220-Y220</f>
        <v>114.77040000000034</v>
      </c>
      <c r="AA221" s="427">
        <f>AA220-Z220</f>
        <v>117.06580800000029</v>
      </c>
      <c r="AB221" s="427">
        <f>AB220-AA220</f>
        <v>119.40712416000042</v>
      </c>
      <c r="AC221" s="427">
        <f>AC220-AB220</f>
        <v>121.7952666432002</v>
      </c>
      <c r="AD221" s="426">
        <f>AD220-Y220</f>
        <v>473.03859880320124</v>
      </c>
      <c r="AE221" s="426">
        <f t="shared" ref="AE221:AG221" si="379">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80">F141</f>
        <v>0</v>
      </c>
      <c r="G223" s="353">
        <f>G141</f>
      </c>
      <c r="H223" s="353">
        <f>H141</f>
      </c>
      <c r="I223" s="353">
        <f>I141</f>
      </c>
      <c r="J223" s="282">
        <f>J141</f>
      </c>
      <c r="K223" s="353">
        <f>K141</f>
      </c>
      <c r="L223" s="353">
        <f>L141</f>
      </c>
      <c r="M223" s="353">
        <f>M141</f>
      </c>
      <c r="N223" s="353">
        <f>N141</f>
      </c>
      <c r="O223" s="282">
        <f>O141</f>
      </c>
      <c r="P223" s="353">
        <f>P141</f>
      </c>
      <c r="Q223" s="353">
        <f>Q141</f>
      </c>
      <c r="R223" s="353">
        <f>R141</f>
      </c>
      <c r="S223" s="353">
        <f>S141</f>
        <v>168</v>
      </c>
      <c r="T223" s="282">
        <f>T141</f>
        <v>168</v>
      </c>
      <c r="U223" s="353">
        <f>U141</f>
      </c>
      <c r="V223" s="353">
        <f>V141</f>
      </c>
      <c r="W223" s="353">
        <f>W141</f>
      </c>
      <c r="X223" s="281">
        <f t="shared" ref="X223:AG223" si="381">W223</f>
        <v>0</v>
      </c>
      <c r="Y223" s="282">
        <f>X223</f>
      </c>
      <c r="Z223" s="281">
        <f>Y223</f>
      </c>
      <c r="AA223" s="281">
        <f>Z223</f>
      </c>
      <c r="AB223" s="281">
        <f>AA223</f>
      </c>
      <c r="AC223" s="281">
        <f>AB223</f>
      </c>
      <c r="AD223" s="282">
        <f>AC223</f>
      </c>
      <c r="AE223" s="282">
        <f>AD223</f>
      </c>
      <c r="AF223" s="282">
        <f>AE223</f>
      </c>
      <c r="AG223" s="282">
        <f>AF223</f>
      </c>
      <c r="AH223" s="16"/>
      <c r="AI223" s="16"/>
      <c r="AJ223" s="16"/>
      <c r="AK223" s="16"/>
    </row>
    <row r="224" ht="13.5" customHeight="1" spans="1:37" x14ac:dyDescent="0.25">
      <c r="A224" s="264"/>
      <c r="B224" s="16"/>
      <c r="C224" s="139" t="s">
        <v>348</v>
      </c>
      <c r="D224" s="16"/>
      <c r="E224" s="16"/>
      <c r="F224" s="372">
        <f t="shared" ref="F224:W224" si="382">F142</f>
        <v>1770</v>
      </c>
      <c r="G224" s="372">
        <f>G142</f>
        <v>1806</v>
      </c>
      <c r="H224" s="372">
        <f>H142</f>
        <v>1790</v>
      </c>
      <c r="I224" s="372">
        <f>I142</f>
        <v>1976</v>
      </c>
      <c r="J224" s="355">
        <f>J142</f>
        <v>1976</v>
      </c>
      <c r="K224" s="372">
        <f>K142</f>
        <v>5660</v>
      </c>
      <c r="L224" s="372">
        <f>L142</f>
        <v>5682</v>
      </c>
      <c r="M224" s="372">
        <f>M142</f>
        <v>5608</v>
      </c>
      <c r="N224" s="372">
        <f>N142</f>
        <v>5549</v>
      </c>
      <c r="O224" s="355">
        <f>O142</f>
        <v>5549</v>
      </c>
      <c r="P224" s="372">
        <f>P142</f>
        <v>5591</v>
      </c>
      <c r="Q224" s="372">
        <f>Q142</f>
        <v>5840</v>
      </c>
      <c r="R224" s="372">
        <f>R142</f>
        <v>6058</v>
      </c>
      <c r="S224" s="372">
        <f>S142</f>
        <v>2010</v>
      </c>
      <c r="T224" s="355">
        <f>T142</f>
        <v>2010</v>
      </c>
      <c r="U224" s="372">
        <f>U142</f>
        <v>5957</v>
      </c>
      <c r="V224" s="372">
        <f>V142</f>
        <v>5948</v>
      </c>
      <c r="W224" s="372">
        <f>W142</f>
        <v>6261</v>
      </c>
      <c r="X224" s="356">
        <f t="shared" ref="X224:AG224" si="383">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84">SUM(F223:F224)</f>
        <v>1770</v>
      </c>
      <c r="G225" s="353">
        <f>SUM(G223:G224)</f>
        <v>1806</v>
      </c>
      <c r="H225" s="353">
        <f>SUM(H223:H224)</f>
        <v>1790</v>
      </c>
      <c r="I225" s="353">
        <f>SUM(I223:I224)</f>
        <v>1976</v>
      </c>
      <c r="J225" s="282">
        <f>SUM(J223:J224)</f>
        <v>1976</v>
      </c>
      <c r="K225" s="353">
        <f>SUM(K223:K224)</f>
        <v>5660</v>
      </c>
      <c r="L225" s="353">
        <f>SUM(L223:L224)</f>
        <v>5682</v>
      </c>
      <c r="M225" s="353">
        <f>SUM(M223:M224)</f>
        <v>5608</v>
      </c>
      <c r="N225" s="353">
        <f>SUM(N223:N224)</f>
        <v>5549</v>
      </c>
      <c r="O225" s="282">
        <f>SUM(O223:O224)</f>
        <v>5549</v>
      </c>
      <c r="P225" s="353">
        <f>SUM(P223:P224)</f>
        <v>5591</v>
      </c>
      <c r="Q225" s="353">
        <f>SUM(Q223:Q224)</f>
        <v>5840</v>
      </c>
      <c r="R225" s="353">
        <f>SUM(R223:R224)</f>
        <v>6058</v>
      </c>
      <c r="S225" s="353">
        <f>SUM(S223:S224)</f>
        <v>2178</v>
      </c>
      <c r="T225" s="282">
        <f>SUM(T223:T224)</f>
        <v>2178</v>
      </c>
      <c r="U225" s="353">
        <f>SUM(U223:U224)</f>
        <v>5957</v>
      </c>
      <c r="V225" s="353">
        <f>SUM(V223:V224)</f>
        <v>5948</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85">G225-F225</f>
        <v>36</v>
      </c>
      <c r="H226" s="425">
        <f>H225-G225</f>
        <v>-16</v>
      </c>
      <c r="I226" s="425">
        <f>I225-H225</f>
        <v>186</v>
      </c>
      <c r="J226" s="426"/>
      <c r="K226" s="425">
        <f t="shared" ref="K226:N226" si="386">K225-J225</f>
        <v>3684</v>
      </c>
      <c r="L226" s="425">
        <f>L225-K225</f>
        <v>22</v>
      </c>
      <c r="M226" s="425">
        <f>M225-L225</f>
        <v>-74</v>
      </c>
      <c r="N226" s="425">
        <f>N225-M225</f>
        <v>-59</v>
      </c>
      <c r="O226" s="426">
        <f>O225-J225</f>
        <v>3573</v>
      </c>
      <c r="P226" s="425">
        <f t="shared" ref="P226:S226" si="387">P225-O225</f>
        <v>42</v>
      </c>
      <c r="Q226" s="425">
        <f>Q225-P225</f>
        <v>249</v>
      </c>
      <c r="R226" s="425">
        <f>R225-Q225</f>
        <v>218</v>
      </c>
      <c r="S226" s="425">
        <f>S225-R225</f>
        <v>-3880</v>
      </c>
      <c r="T226" s="426">
        <f>T225-O225</f>
        <v>-3371</v>
      </c>
      <c r="U226" s="425">
        <f t="shared" ref="U226:X226" si="388">U225-T225</f>
        <v>3779</v>
      </c>
      <c r="V226" s="425">
        <f>V225-U225</f>
        <v>-9</v>
      </c>
      <c r="W226" s="425">
        <f>W225-V225</f>
        <v>313</v>
      </c>
      <c r="X226" s="427">
        <f>X225-W225</f>
      </c>
      <c r="Y226" s="426">
        <f>Y225-T225</f>
        <v>4083</v>
      </c>
      <c r="Z226" s="427">
        <f t="shared" ref="Z226:AC226" si="389">Z225-Y225</f>
        <v>0</v>
      </c>
      <c r="AA226" s="427">
        <f>AA225-Z225</f>
      </c>
      <c r="AB226" s="427">
        <f>AB225-AA225</f>
      </c>
      <c r="AC226" s="427">
        <f>AC225-AB225</f>
      </c>
      <c r="AD226" s="426">
        <f>AD225-Y225</f>
        <v>0</v>
      </c>
      <c r="AE226" s="426">
        <f t="shared" ref="AE226:AG226" si="390">AE225-AD225</f>
        <v>0</v>
      </c>
      <c r="AF226" s="426">
        <f>AF225-AE225</f>
      </c>
      <c r="AG226" s="426">
        <f>AG225-AF225</f>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91">G226-G221</f>
        <v>290</v>
      </c>
      <c r="H228" s="388">
        <f>H226-H221</f>
        <v>-218</v>
      </c>
      <c r="I228" s="388">
        <f>I226-I221</f>
        <v>990</v>
      </c>
      <c r="J228" s="389"/>
      <c r="K228" s="388">
        <f t="shared" ref="K228:AG228" si="392">K226-K221</f>
        <v>-202</v>
      </c>
      <c r="L228" s="388">
        <f>L226-L221</f>
        <v>60</v>
      </c>
      <c r="M228" s="388">
        <f>M226-M221</f>
        <v>-109</v>
      </c>
      <c r="N228" s="388">
        <f>N226-N221</f>
        <v>188</v>
      </c>
      <c r="O228" s="389">
        <f>O226-O221</f>
        <v>-63</v>
      </c>
      <c r="P228" s="388">
        <f>P226-P221</f>
        <v>121</v>
      </c>
      <c r="Q228" s="388">
        <f>Q226-Q221</f>
        <v>220</v>
      </c>
      <c r="R228" s="388">
        <f>R226-R221</f>
        <v>371</v>
      </c>
      <c r="S228" s="388">
        <f>S226-S221</f>
        <v>-21</v>
      </c>
      <c r="T228" s="389">
        <f>T226-T221</f>
        <v>691</v>
      </c>
      <c r="U228" s="388">
        <f>U226-U221</f>
        <v>-124</v>
      </c>
      <c r="V228" s="388">
        <f>V226-V221</f>
        <v>26</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93">G219/F219-1</f>
        <v>-0.1673728813559322</v>
      </c>
      <c r="H232" s="397">
        <f>H219/G219-1</f>
        <v>0.17048346055979646</v>
      </c>
      <c r="I232" s="397">
        <f>I219/H219-1</f>
        <v>0.11956521739130443</v>
      </c>
      <c r="J232" s="398"/>
      <c r="K232" s="397">
        <f>K219/I219-1</f>
        <v>2.515210355987055</v>
      </c>
      <c r="L232" s="397">
        <f t="shared" ref="L232:N232" si="394">L219/K219-1</f>
        <v>-0.00699686982139569</v>
      </c>
      <c r="M232" s="397">
        <f>M219/L219-1</f>
        <v>0.0064898943074356286</v>
      </c>
      <c r="N232" s="397">
        <f>N219/M219-1</f>
        <v>-0.045504789977892424</v>
      </c>
      <c r="O232" s="398">
        <f>O219/J219-1</f>
        <v>2.353398058252427</v>
      </c>
      <c r="P232" s="397">
        <f>P219/N219-1</f>
        <v>0.04323489673808134</v>
      </c>
      <c r="Q232" s="397">
        <f t="shared" ref="Q232:S232" si="395">Q219/P219-1</f>
        <v>0.005365402405180353</v>
      </c>
      <c r="R232" s="397">
        <f>R219/Q219-1</f>
        <v>-0.028156054471843994</v>
      </c>
      <c r="S232" s="397">
        <f>S219/R219-1</f>
        <v>-0.7896231774285173</v>
      </c>
      <c r="T232" s="398">
        <f>T219/O219-1</f>
        <v>-0.7855626326963907</v>
      </c>
      <c r="U232" s="397">
        <f>U219/S219-1</f>
        <v>3.7929792979297927</v>
      </c>
      <c r="V232" s="397">
        <f t="shared" ref="V232:W232" si="396">V219/U219-1</f>
        <v>-0.0065727699530516714</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t="str">
        <f>F$25</f>
        <v>1Q23</v>
      </c>
      <c r="G234" s="63" t="str">
        <f t="shared" ref="G234:AG234" si="397">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98">F53</f>
        <v>1.1975757575757575</v>
      </c>
      <c r="G237" s="370">
        <f>G53</f>
        <v>1.8708487084870848</v>
      </c>
      <c r="H237" s="370">
        <f>H53</f>
        <v>0.7803970223325062</v>
      </c>
      <c r="I237" s="370">
        <f>I53</f>
        <v>-1.0287141073657928</v>
      </c>
      <c r="J237" s="127">
        <f>J53</f>
        <v>2.888888888888889</v>
      </c>
      <c r="K237" s="370">
        <f>K53</f>
        <v>1.2678787878787878</v>
      </c>
      <c r="L237" s="370">
        <f>L53</f>
        <v>2.06150061500615</v>
      </c>
      <c r="M237" s="370">
        <f>M53</f>
        <v>1.3014888337468982</v>
      </c>
      <c r="N237" s="370">
        <f>N53</f>
        <v>0.6367041198501873</v>
      </c>
      <c r="O237" s="127">
        <f>O53</f>
        <v>5.344569288389513</v>
      </c>
      <c r="P237" s="370">
        <f>P53</f>
        <v>1.770860927152318</v>
      </c>
      <c r="Q237" s="370">
        <f>Q53</f>
        <v>3.7606382978723403</v>
      </c>
      <c r="R237" s="370">
        <f>R53</f>
        <v>0.9202127659574468</v>
      </c>
      <c r="S237" s="370">
        <f>S53</f>
        <v>1.3074866310160427</v>
      </c>
      <c r="T237" s="127">
        <f>T53</f>
        <v>7.800802139037433</v>
      </c>
      <c r="U237" s="370">
        <f>U53</f>
        <v>3.232590529247911</v>
      </c>
      <c r="V237" s="370">
        <f>V53</f>
        <v>4.280851063829787</v>
      </c>
      <c r="W237" s="370">
        <f>W53</f>
        <v>2.747826086956522</v>
      </c>
      <c r="X237" s="371">
        <f>X53</f>
      </c>
      <c r="Y237" s="127">
        <f>Y53</f>
      </c>
      <c r="Z237" s="371">
        <f>Z53</f>
      </c>
      <c r="AA237" s="371">
        <f>AA53</f>
      </c>
      <c r="AB237" s="371">
        <f>AB53</f>
      </c>
      <c r="AC237" s="371">
        <f>AC53</f>
      </c>
      <c r="AD237" s="127">
        <f>AD53</f>
      </c>
      <c r="AE237" s="127">
        <f>AE53</f>
      </c>
      <c r="AF237" s="127">
        <f>AF53</f>
      </c>
      <c r="AG237" s="127">
        <f>AG53</f>
      </c>
      <c r="AH237" s="16"/>
      <c r="AI237" s="16"/>
      <c r="AJ237" s="16"/>
      <c r="AK237" s="16"/>
    </row>
    <row r="238" ht="13.5" customHeight="1" spans="1:37" x14ac:dyDescent="0.25">
      <c r="A238" s="264"/>
      <c r="B238" s="16"/>
      <c r="C238" s="139" t="s">
        <v>398</v>
      </c>
      <c r="D238" s="16"/>
      <c r="E238" s="16"/>
      <c r="F238" s="428">
        <f>F239/SUM(F237,B238:D238)</f>
        <v>71.79504048582997</v>
      </c>
      <c r="G238" s="428">
        <f>G239/SUM(F237:G237,C237:D237)</f>
        <v>29.917633956878998</v>
      </c>
      <c r="H238" s="428">
        <f>H239/SUM(F237:H237,D237)</f>
        <v>24.856959536433777</v>
      </c>
      <c r="I238" s="429">
        <f>I239/SUM(F237:I237)</f>
        <v>39.45594439009551</v>
      </c>
      <c r="J238" s="430">
        <f>J239/J237</f>
        <v>32.54209714048039</v>
      </c>
      <c r="K238" s="429">
        <f>K239/SUM(K237,G237:I237)</f>
        <v>35.41019628171519</v>
      </c>
      <c r="L238" s="429">
        <f>L239/SUM(K237:L237,H237:I237)</f>
        <v>33.29695715844315</v>
      </c>
      <c r="M238" s="429">
        <f>M239/SUM(K237:M237,I237)</f>
        <v>30.095880439765928</v>
      </c>
      <c r="N238" s="429">
        <f>N239/SUM(K237:N237)</f>
        <v>20.003522091222287</v>
      </c>
      <c r="O238" s="430">
        <f>O239/O237</f>
        <v>19.47867546887351</v>
      </c>
      <c r="P238" s="429">
        <f>P239/SUM(P237,L237:N237)</f>
        <v>17.117939025210866</v>
      </c>
      <c r="Q238" s="429">
        <f>Q239/SUM(P237:Q237,M237:N237)</f>
        <v>13.22410584504517</v>
      </c>
      <c r="R238" s="429">
        <f>R239/SUM(P237:R237,N237)</f>
        <v>23.87582885294308</v>
      </c>
      <c r="S238" s="429">
        <f>S239/SUM(P237:S237)</f>
        <v>27.002616182182276</v>
      </c>
      <c r="T238" s="430">
        <f>T239/T237</f>
        <v>21.577362182297914</v>
      </c>
      <c r="U238" s="429">
        <f>U239/SUM(U237,Q237:S237)</f>
        <v>19.75939900756652</v>
      </c>
      <c r="V238" s="429">
        <f>V239/SUM(U237:V237,R237:S237)</f>
        <v>19.599003929404308</v>
      </c>
      <c r="W238" s="429">
        <f>W239/SUM(U237:W237,S237)</f>
        <v>17.837991361091575</v>
      </c>
      <c r="X238" s="431">
        <f>X239/SUM(U237:X237)</f>
      </c>
      <c r="Y238" s="430">
        <f>Y239/Y237</f>
      </c>
      <c r="Z238" s="431">
        <f>Z239/SUM(Z237,V237:X237)</f>
      </c>
      <c r="AA238" s="431">
        <f>AA239/SUM(Z237:AA237,W237:X237)</f>
      </c>
      <c r="AB238" s="431">
        <f>AB239/SUM(Z237:AB237,X237)</f>
      </c>
      <c r="AC238" s="431">
        <f>AC239/SUM(Z237:AC237)</f>
      </c>
      <c r="AD238" s="430">
        <f>AD239/AD237</f>
      </c>
      <c r="AE238" s="430">
        <f>AE239/AE237</f>
      </c>
      <c r="AF238" s="430">
        <f>AF239/AF237</f>
      </c>
      <c r="AG238" s="430">
        <f>AG239/AG237</f>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99">Z239</f>
        <v>233.18</v>
      </c>
      <c r="AB239" s="435">
        <f>AA239</f>
        <v>233.18</v>
      </c>
      <c r="AC239" s="435">
        <f>AB239</f>
        <v>233.18</v>
      </c>
      <c r="AD239" s="127">
        <f>AVERAGE(Z239:AC239)</f>
        <v>233.18</v>
      </c>
      <c r="AE239" s="436">
        <f>AC239</f>
        <v>233.18</v>
      </c>
      <c r="AF239" s="436">
        <f t="shared" ref="AF239:AG239" si="400">AE239</f>
        <v>233.18</v>
      </c>
      <c r="AG239" s="436">
        <f>AF239</f>
        <v>233.18</v>
      </c>
      <c r="AH239" s="16"/>
      <c r="AI239" s="16"/>
      <c r="AJ239" s="16"/>
      <c r="AK239" s="16"/>
    </row>
    <row r="240" ht="13.5" customHeight="1" spans="1:37" x14ac:dyDescent="0.25">
      <c r="A240" s="264"/>
      <c r="B240" s="16"/>
      <c r="C240" s="139" t="s">
        <v>400</v>
      </c>
      <c r="D240" s="16"/>
      <c r="E240" s="16"/>
      <c r="F240" s="384">
        <f t="shared" ref="F240:I240" si="401">F241/F239</f>
        <v>8.467085368690393</v>
      </c>
      <c r="G240" s="384">
        <f>G241/G239</f>
        <v>12.178649237472767</v>
      </c>
      <c r="H240" s="384">
        <f>H241/H239</f>
        <v>6.815093550747361</v>
      </c>
      <c r="I240" s="384">
        <f>I241/I239</f>
        <v>4.844072975644826</v>
      </c>
      <c r="J240" s="162">
        <f t="shared" ref="J240:J241" si="402">SUM(F240:I240)</f>
        <v>32.304901132555344</v>
      </c>
      <c r="K240" s="384">
        <f t="shared" ref="K240:N240" si="403">K241/K239</f>
        <v>8.070346849047388</v>
      </c>
      <c r="L240" s="384">
        <f>L241/L239</f>
        <v>18.949215323130908</v>
      </c>
      <c r="M240" s="384">
        <f>M241/M239</f>
        <v>8.108108108108109</v>
      </c>
      <c r="N240" s="437">
        <f>N241/N239</f>
        <v>6.301603872069848</v>
      </c>
      <c r="O240" s="162">
        <f t="shared" ref="O240:O241" si="404">SUM(K240:N240)</f>
        <v>41.42927415235626</v>
      </c>
      <c r="P240" s="384">
        <f t="shared" ref="P240:S240" si="405">P241/P239</f>
        <v>9.77930755213606</v>
      </c>
      <c r="Q240" s="384">
        <f>Q241/Q239</f>
      </c>
      <c r="R240" s="437">
        <f>R241/R239</f>
        <v>3.320692447863939</v>
      </c>
      <c r="S240" s="384">
        <f>S241/S239</f>
        <v>16.4329036978314</v>
      </c>
      <c r="T240" s="162">
        <f t="shared" ref="T240:T241" si="406">SUM(P240:S240)</f>
        <v>29.5329036978314</v>
      </c>
      <c r="U240" s="384">
        <f>U241/U239</f>
        <v>16.67398463227223</v>
      </c>
      <c r="V240" s="384">
        <f>33.1-U240</f>
        <v>16.42601536772777</v>
      </c>
      <c r="W240" s="437">
        <f t="shared" ref="W240:X240" si="407">W241/W239</f>
        <v>13.689447008390864</v>
      </c>
      <c r="X240" s="359">
        <f>X241/X239</f>
        <v>2.1442662320953767</v>
      </c>
      <c r="Y240" s="162">
        <f t="shared" ref="Y240:Y241" si="408">SUM(U240:X240)</f>
        <v>48.93371324048624</v>
      </c>
      <c r="Z240" s="359">
        <f t="shared" ref="Z240:AC240" si="409">Z241/Z239</f>
        <v>2.1442662320953767</v>
      </c>
      <c r="AA240" s="359">
        <f>AA241/AA239</f>
        <v>2.1442662320953767</v>
      </c>
      <c r="AB240" s="359">
        <f>AB241/AB239</f>
        <v>2.1442662320953767</v>
      </c>
      <c r="AC240" s="359">
        <f>AC241/AC239</f>
        <v>2.1442662320953767</v>
      </c>
      <c r="AD240" s="162">
        <f t="shared" ref="AD240:AD241" si="410">SUM(Z240:AC240)</f>
        <v>8.577064928381507</v>
      </c>
      <c r="AE240" s="162">
        <f t="shared" ref="AE240:AG240" si="411">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412">Z272</f>
        <v>500</v>
      </c>
      <c r="AA241" s="359">
        <f>AA272</f>
        <v>500</v>
      </c>
      <c r="AB241" s="359">
        <f>AB272</f>
        <v>500</v>
      </c>
      <c r="AC241" s="359">
        <f>AC272</f>
        <v>500</v>
      </c>
      <c r="AD241" s="162">
        <f>SUM(Z241:AC241)</f>
        <v>2000</v>
      </c>
      <c r="AE241" s="162">
        <f t="shared" ref="AE241:AG241" si="413">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414">Y247</f>
        <v>394.3</v>
      </c>
      <c r="AA244" s="281">
        <f>Z247</f>
        <v>454.834</v>
      </c>
      <c r="AB244" s="281">
        <f>AA247</f>
        <v>523.84276</v>
      </c>
      <c r="AC244" s="281">
        <f>AB247</f>
        <v>584.5704688</v>
      </c>
      <c r="AD244" s="282">
        <f>Y247</f>
        <v>394.3</v>
      </c>
      <c r="AE244" s="282">
        <f t="shared" ref="AE244:AG244" si="415">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16">SUM(F245:I245)</f>
        <v>0</v>
      </c>
      <c r="K245" s="413">
        <v>0</v>
      </c>
      <c r="L245" s="413">
        <v>0</v>
      </c>
      <c r="M245" s="413">
        <v>0</v>
      </c>
      <c r="N245" s="443">
        <v>0</v>
      </c>
      <c r="O245" s="329">
        <f t="shared" ref="O245:O246" si="417">SUM(K245:N245)</f>
        <v>0</v>
      </c>
      <c r="P245" s="413">
        <v>0</v>
      </c>
      <c r="Q245" s="413">
        <v>0</v>
      </c>
      <c r="R245" s="443">
        <v>0</v>
      </c>
      <c r="S245" s="413">
        <v>0</v>
      </c>
      <c r="T245" s="329">
        <f t="shared" ref="T245:T246" si="418">SUM(P245:S245)</f>
        <v>0</v>
      </c>
      <c r="U245" s="413">
        <v>0</v>
      </c>
      <c r="V245" s="413">
        <v>0</v>
      </c>
      <c r="W245" s="443">
        <v>0</v>
      </c>
      <c r="X245" s="330">
        <f>X271*X239</f>
        <v>0</v>
      </c>
      <c r="Y245" s="329">
        <f t="shared" ref="Y245:Y246" si="419">SUM(U245:X245)</f>
        <v>0</v>
      </c>
      <c r="Z245" s="330">
        <f t="shared" ref="Z245:AC245" si="420">Z271*Z239</f>
        <v>0</v>
      </c>
      <c r="AA245" s="330">
        <f>AA271*AA239</f>
      </c>
      <c r="AB245" s="330">
        <f>AB271*AB239</f>
      </c>
      <c r="AC245" s="330">
        <f>AC271*AC239</f>
      </c>
      <c r="AD245" s="329">
        <f t="shared" ref="AD245:AD246" si="421">SUM(Z245:AC245)</f>
        <v>0</v>
      </c>
      <c r="AE245" s="329">
        <f t="shared" ref="AE245:AG245" si="422">AE271*AE239</f>
        <v>0</v>
      </c>
      <c r="AF245" s="329">
        <f>AF271*AF239</f>
      </c>
      <c r="AG245" s="329">
        <f>AG271*AG239</f>
      </c>
      <c r="AH245" s="16"/>
      <c r="AI245" s="16"/>
      <c r="AJ245" s="16"/>
      <c r="AK245" s="16"/>
    </row>
    <row r="246" ht="13.5" customHeight="1" spans="1:37" x14ac:dyDescent="0.25">
      <c r="A246" s="264"/>
      <c r="B246" s="16"/>
      <c r="C246" s="139" t="s">
        <v>405</v>
      </c>
      <c r="D246" s="16"/>
      <c r="E246" s="16"/>
      <c r="F246" s="354">
        <v>14</v>
      </c>
      <c r="G246" s="354">
        <f>62-F246</f>
        <v>38</v>
      </c>
      <c r="H246" s="354">
        <f>79-SUM(F246:G246)</f>
        <v>17</v>
      </c>
      <c r="I246" s="354">
        <v>18</v>
      </c>
      <c r="J246" s="355">
        <f>SUM(F246:I246)</f>
        <v>74</v>
      </c>
      <c r="K246" s="354">
        <v>17</v>
      </c>
      <c r="L246" s="354">
        <f>51-K246</f>
        <v>9</v>
      </c>
      <c r="M246" s="354">
        <v>16</v>
      </c>
      <c r="N246" s="367">
        <f>98-SUM(K246:M246)</f>
        <v>23</v>
      </c>
      <c r="O246" s="355">
        <f>SUM(K246:N246)</f>
        <v>98</v>
      </c>
      <c r="P246" s="354">
        <v>21</v>
      </c>
      <c r="Q246" s="354">
        <v>20</v>
      </c>
      <c r="R246" s="367">
        <v>38</v>
      </c>
      <c r="S246" s="354">
        <f>98-SUM(P246:R246)</f>
        <v>-9</v>
      </c>
      <c r="T246" s="355">
        <f>SUM(P246:S246)</f>
        <v>98</v>
      </c>
      <c r="U246" s="354">
        <v>25</v>
      </c>
      <c r="V246" s="354">
        <f>115-U246</f>
        <v>61</v>
      </c>
      <c r="W246" s="367">
        <f>169-SUM(U246:V246)</f>
        <v>54</v>
      </c>
      <c r="X246" s="356">
        <f>X249*X28</f>
        <v>51.3</v>
      </c>
      <c r="Y246" s="355">
        <f>SUM(U246:X246)</f>
        <v>220.3</v>
      </c>
      <c r="Z246" s="356">
        <f t="shared" ref="Z246:AC246" si="423">Z249*Z28</f>
        <v>60.534</v>
      </c>
      <c r="AA246" s="356">
        <f>AA249*AA28</f>
        <v>69.00876</v>
      </c>
      <c r="AB246" s="356">
        <f>AB249*AB28</f>
        <v>60.7277088</v>
      </c>
      <c r="AC246" s="356">
        <f>AC249*AC28</f>
        <v>57.69132336</v>
      </c>
      <c r="AD246" s="355">
        <f>SUM(Z246:AC246)</f>
        <v>247.96179216000002</v>
      </c>
      <c r="AE246" s="355">
        <f t="shared" ref="AE246:AG246" si="424">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25">F147</f>
        <v>411</v>
      </c>
      <c r="G247" s="353">
        <f>G147</f>
        <v>406</v>
      </c>
      <c r="H247" s="353">
        <f>H147</f>
        <v>403</v>
      </c>
      <c r="I247" s="353">
        <f>I147</f>
        <v>401</v>
      </c>
      <c r="J247" s="282">
        <f>J147</f>
        <v>401</v>
      </c>
      <c r="K247" s="353">
        <f>K147</f>
        <v>397</v>
      </c>
      <c r="L247" s="353">
        <f>L147</f>
        <v>388</v>
      </c>
      <c r="M247" s="353">
        <f>M147</f>
        <v>384</v>
      </c>
      <c r="N247" s="444">
        <f>N147</f>
        <v>381</v>
      </c>
      <c r="O247" s="282">
        <f>O147</f>
        <v>381</v>
      </c>
      <c r="P247" s="353">
        <f>P147</f>
        <v>387</v>
      </c>
      <c r="Q247" s="353">
        <f>Q147</f>
        <v>507</v>
      </c>
      <c r="R247" s="444">
        <f>R147</f>
        <v>376</v>
      </c>
      <c r="S247" s="353">
        <f>S147</f>
        <v>456</v>
      </c>
      <c r="T247" s="282">
        <f>T147</f>
        <v>456</v>
      </c>
      <c r="U247" s="353">
        <f>U147</f>
        <v>358</v>
      </c>
      <c r="V247" s="353">
        <f>V147</f>
        <v>350</v>
      </c>
      <c r="W247" s="444">
        <f>W147</f>
        <v>343</v>
      </c>
      <c r="X247" s="281">
        <f>SUM(X244:X246)</f>
        <v>394.3</v>
      </c>
      <c r="Y247" s="282">
        <f>X247</f>
        <v>394.3</v>
      </c>
      <c r="Z247" s="281">
        <f t="shared" ref="Z247:AG247" si="426">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27">F246/F28</f>
        <v>0.0013824884792626728</v>
      </c>
      <c r="G249" s="445">
        <f>G246/G28</f>
        <v>0.0018192263500574493</v>
      </c>
      <c r="H249" s="445">
        <f>H246/H28</f>
        <v>0.0009761699684180305</v>
      </c>
      <c r="I249" s="445">
        <f>I246/I28</f>
        <v>-0.00031957049725169374</v>
      </c>
      <c r="J249" s="446">
        <f>J246/J28</f>
        <v>0.0010377371720259715</v>
      </c>
      <c r="K249" s="445">
        <f>K246/K28</f>
        <v>0.0023673975536891946</v>
      </c>
      <c r="L249" s="445">
        <f>L246/L28</f>
        <v>0.000428734756097561</v>
      </c>
      <c r="M249" s="445">
        <f>M246/M28</f>
        <v>0.0013802622498274672</v>
      </c>
      <c r="N249" s="447">
        <f>N246/N28</f>
        <v>0.0014350783053597054</v>
      </c>
      <c r="O249" s="446">
        <f>O246/O28</f>
        <v>0.0013583190109219938</v>
      </c>
      <c r="P249" s="445">
        <f>P246/P28</f>
        <v>0.001372299872935197</v>
      </c>
      <c r="Q249" s="445">
        <f>Q246/Q28</f>
        <v>0.0013552120723756501</v>
      </c>
      <c r="R249" s="447">
        <f>R246/R28</f>
        <v>0.0019274732170872742</v>
      </c>
      <c r="S249" s="445">
        <f>S246/S28</f>
        <v>-0.00044310964501993993</v>
      </c>
      <c r="T249" s="446">
        <f>T246/T28</f>
        <v>0.0010937866223199436</v>
      </c>
      <c r="U249" s="445">
        <f>U246/U28</f>
        <v>0.0022111211203013677</v>
      </c>
      <c r="V249" s="445">
        <f>V246/V28</f>
        <v>0.002212549873050417</v>
      </c>
      <c r="W249" s="447">
        <f>W246/W28</f>
        <v>0.0023562265468190942</v>
      </c>
      <c r="X249" s="448">
        <f>W249</f>
        <v>0.0023562265468190942</v>
      </c>
      <c r="Y249" s="446">
        <f>Y246/Y28</f>
        <v>0.0022786017266898423</v>
      </c>
      <c r="Z249" s="448">
        <f>X249</f>
        <v>0.0023562265468190942</v>
      </c>
      <c r="AA249" s="448">
        <f t="shared" ref="AA249:AC249" si="428">Z249</f>
        <v>0.0023562265468190942</v>
      </c>
      <c r="AB249" s="448">
        <f>AA249</f>
        <v>0.0023562265468190942</v>
      </c>
      <c r="AC249" s="448">
        <f>AB249</f>
        <v>0.0023562265468190942</v>
      </c>
      <c r="AD249" s="446">
        <f>AD246/AD28</f>
        <v>0.0023562265468190947</v>
      </c>
      <c r="AE249" s="449">
        <f>AC249</f>
        <v>0.0023562265468190942</v>
      </c>
      <c r="AF249" s="449">
        <f t="shared" ref="AF249:AG249" si="429">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30">E256</f>
        <v>0</v>
      </c>
      <c r="G252" s="353">
        <f>F256</f>
        <v>5405</v>
      </c>
      <c r="H252" s="353">
        <f>G256</f>
        <v>5517</v>
      </c>
      <c r="I252" s="353">
        <f>H256</f>
        <v>5156</v>
      </c>
      <c r="J252" s="282">
        <f>F252</f>
        <v>0</v>
      </c>
      <c r="K252" s="353">
        <f t="shared" ref="K252:N252" si="431">J256</f>
        <v>3452</v>
      </c>
      <c r="L252" s="353">
        <f>K256</f>
        <v>3095</v>
      </c>
      <c r="M252" s="353">
        <f>L256</f>
        <v>2439</v>
      </c>
      <c r="N252" s="444">
        <f>M256</f>
        <v>2238</v>
      </c>
      <c r="O252" s="282">
        <f>K252</f>
        <v>3452</v>
      </c>
      <c r="P252" s="353">
        <f t="shared" ref="P252:S252" si="432">O256</f>
        <v>1727</v>
      </c>
      <c r="Q252" s="353">
        <f>P256</f>
        <v>1722</v>
      </c>
      <c r="R252" s="444">
        <f>Q256</f>
        <v>4134</v>
      </c>
      <c r="S252" s="353">
        <f>R256</f>
        <v>3942</v>
      </c>
      <c r="T252" s="282">
        <f>P252</f>
        <v>1727</v>
      </c>
      <c r="U252" s="353">
        <f t="shared" ref="U252:X252" si="433">T256</f>
        <v>1117</v>
      </c>
      <c r="V252" s="353">
        <f>U256</f>
        <v>98</v>
      </c>
      <c r="W252" s="444">
        <f>V256</f>
        <v>-460</v>
      </c>
      <c r="X252" s="281">
        <f>W256</f>
        <v>-1913</v>
      </c>
      <c r="Y252" s="282">
        <f>T256</f>
        <v>1117</v>
      </c>
      <c r="Z252" s="281">
        <f>Y256</f>
      </c>
      <c r="AA252" s="281">
        <f>Z256</f>
      </c>
      <c r="AB252" s="281">
        <f>AA256</f>
      </c>
      <c r="AC252" s="281">
        <f>AB256</f>
      </c>
      <c r="AD252" s="282">
        <f>Y256</f>
      </c>
      <c r="AE252" s="282">
        <f>AD256</f>
      </c>
      <c r="AF252" s="282">
        <f>AE256</f>
      </c>
      <c r="AG252" s="282">
        <f>AF256</f>
      </c>
      <c r="AH252" s="16"/>
      <c r="AI252" s="16"/>
      <c r="AJ252" s="16"/>
      <c r="AK252" s="16"/>
    </row>
    <row r="253" ht="13.5" customHeight="1" spans="1:37" x14ac:dyDescent="0.25">
      <c r="A253" s="264"/>
      <c r="B253" s="16"/>
      <c r="C253" s="139" t="s">
        <v>300</v>
      </c>
      <c r="D253" s="16"/>
      <c r="E253" s="16"/>
      <c r="F253" s="384">
        <f t="shared" ref="F253:I253" si="434">F45</f>
        <v>988</v>
      </c>
      <c r="G253" s="384">
        <f>G45</f>
        <v>1521</v>
      </c>
      <c r="H253" s="384">
        <f>H45</f>
        <v>629</v>
      </c>
      <c r="I253" s="384">
        <f>I45</f>
        <v>-824</v>
      </c>
      <c r="J253" s="162">
        <f t="shared" ref="J253:J255" si="435">SUM(F253:I253)</f>
        <v>2314</v>
      </c>
      <c r="K253" s="384">
        <f t="shared" ref="K253:N253" si="436">K45</f>
        <v>1046</v>
      </c>
      <c r="L253" s="384">
        <f>L45</f>
        <v>1676</v>
      </c>
      <c r="M253" s="384">
        <f>M45</f>
        <v>1049</v>
      </c>
      <c r="N253" s="437">
        <f>N45</f>
        <v>510</v>
      </c>
      <c r="O253" s="162">
        <f t="shared" ref="O253:O255" si="437">SUM(K253:N253)</f>
        <v>4281</v>
      </c>
      <c r="P253" s="384">
        <f t="shared" ref="P253:S253" si="438">P45</f>
        <v>1337</v>
      </c>
      <c r="Q253" s="384">
        <f>Q45</f>
        <v>2828</v>
      </c>
      <c r="R253" s="437">
        <f>R45</f>
        <v>692</v>
      </c>
      <c r="S253" s="384">
        <f>S45</f>
        <v>978</v>
      </c>
      <c r="T253" s="162">
        <f t="shared" ref="T253:T255" si="439">SUM(P253:S253)</f>
        <v>5835</v>
      </c>
      <c r="U253" s="384">
        <f t="shared" ref="U253:X253" si="440">U45</f>
        <v>2321</v>
      </c>
      <c r="V253" s="384">
        <f>V45</f>
        <v>3018</v>
      </c>
      <c r="W253" s="437">
        <f>W45</f>
        <v>1896</v>
      </c>
      <c r="X253" s="359">
        <f>X45</f>
      </c>
      <c r="Y253" s="162">
        <f>SUM(U253:X253)</f>
      </c>
      <c r="Z253" s="359">
        <f>Z45</f>
      </c>
      <c r="AA253" s="359">
        <f>AA45</f>
      </c>
      <c r="AB253" s="359">
        <f>AB45</f>
      </c>
      <c r="AC253" s="359">
        <f>AC45</f>
      </c>
      <c r="AD253" s="162">
        <f>SUM(Z253:AC253)</f>
      </c>
      <c r="AE253" s="162">
        <f>AE45</f>
      </c>
      <c r="AF253" s="162">
        <f>AF45</f>
      </c>
      <c r="AG253" s="162">
        <f>AG45</f>
      </c>
      <c r="AH253" s="16"/>
      <c r="AI253" s="16"/>
      <c r="AJ253" s="16"/>
      <c r="AK253" s="16"/>
    </row>
    <row r="254" ht="13.5" customHeight="1" spans="1:37" x14ac:dyDescent="0.25">
      <c r="A254" s="264"/>
      <c r="B254" s="16"/>
      <c r="C254" s="139" t="s">
        <v>408</v>
      </c>
      <c r="D254" s="16"/>
      <c r="E254" s="16"/>
      <c r="F254" s="438">
        <v>-340</v>
      </c>
      <c r="G254" s="438">
        <v>-338</v>
      </c>
      <c r="H254" s="358">
        <v>-390</v>
      </c>
      <c r="I254" s="358">
        <v>-387</v>
      </c>
      <c r="J254" s="162">
        <f>SUM(F254:I254)</f>
        <v>-1455</v>
      </c>
      <c r="K254" s="358">
        <v>-385</v>
      </c>
      <c r="L254" s="358">
        <v>-382</v>
      </c>
      <c r="M254" s="358">
        <v>-428</v>
      </c>
      <c r="N254" s="438">
        <v>-423</v>
      </c>
      <c r="O254" s="162">
        <f>SUM(K254:N254)</f>
        <v>-1618</v>
      </c>
      <c r="P254" s="358">
        <v>-420</v>
      </c>
      <c r="Q254" s="358">
        <v>-416</v>
      </c>
      <c r="R254" s="438">
        <v>-416</v>
      </c>
      <c r="S254" s="358">
        <v>-452</v>
      </c>
      <c r="T254" s="162">
        <f>SUM(P254:S254)</f>
        <v>-1704</v>
      </c>
      <c r="U254" s="358">
        <v>-440</v>
      </c>
      <c r="V254" s="358">
        <f>-870-U254</f>
        <v>-430</v>
      </c>
      <c r="W254" s="438">
        <f>-1433-SUM(U254:V254)</f>
        <v>-563</v>
      </c>
      <c r="X254" s="359">
        <f>-X267</f>
        <v>-519.8</v>
      </c>
      <c r="Y254" s="162">
        <f>SUM(U254:X254)</f>
        <v>-1952.8</v>
      </c>
      <c r="Z254" s="359">
        <f t="shared" ref="Z254:AC254" si="441">-Z267</f>
        <v>-505.99999999999994</v>
      </c>
      <c r="AA254" s="359">
        <f>-AA267</f>
        <v>-494.49999999999994</v>
      </c>
      <c r="AB254" s="359">
        <f>-AB267</f>
        <v>-647.4499999999999</v>
      </c>
      <c r="AC254" s="359">
        <f>-AC267</f>
        <v>-597.7699999999999</v>
      </c>
      <c r="AD254" s="162">
        <f>SUM(Z254:AC254)</f>
        <v>-2245.72</v>
      </c>
      <c r="AE254" s="162">
        <f t="shared" ref="AE254:AG254" si="442">-AE267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43">F256-SUM(F252:F254)</f>
        <v>4757</v>
      </c>
      <c r="G255" s="372">
        <f>G256-SUM(G252:G254)</f>
        <v>-1071</v>
      </c>
      <c r="H255" s="372">
        <f>H256-SUM(H252:H254)</f>
        <v>-600</v>
      </c>
      <c r="I255" s="372">
        <f>I256-SUM(I252:I254)</f>
        <v>-493</v>
      </c>
      <c r="J255" s="355">
        <f>SUM(F255:I255)</f>
        <v>2593</v>
      </c>
      <c r="K255" s="372">
        <f t="shared" ref="K255:N255" si="444">K256-SUM(K252:K254)</f>
        <v>-1018</v>
      </c>
      <c r="L255" s="372">
        <f>L256-SUM(L252:L254)</f>
        <v>-1950</v>
      </c>
      <c r="M255" s="372">
        <f>M256-SUM(M252:M254)</f>
        <v>-822</v>
      </c>
      <c r="N255" s="450">
        <f>N256-SUM(N252:N254)</f>
        <v>-598</v>
      </c>
      <c r="O255" s="355">
        <f>SUM(K255:N255)</f>
        <v>-4388</v>
      </c>
      <c r="P255" s="372">
        <f t="shared" ref="P255:S255" si="445">P256-SUM(P252:P254)</f>
        <v>-922</v>
      </c>
      <c r="Q255" s="372">
        <f>Q256-SUM(Q252:Q254)</f>
      </c>
      <c r="R255" s="450">
        <f>R256-SUM(R252:R254)</f>
        <v>-468</v>
      </c>
      <c r="S255" s="372">
        <f>S256-SUM(S252:S254)</f>
        <v>-3351</v>
      </c>
      <c r="T255" s="355">
        <f>SUM(P255:S255)</f>
        <v>-4741</v>
      </c>
      <c r="U255" s="372">
        <f t="shared" ref="U255:W255" si="446">U256-SUM(U252:U254)</f>
        <v>-2900</v>
      </c>
      <c r="V255" s="372">
        <f>V256-SUM(V252:V254)</f>
        <v>-3146</v>
      </c>
      <c r="W255" s="450">
        <f>W256-SUM(W252:W254)</f>
        <v>-2786</v>
      </c>
      <c r="X255" s="368">
        <v>0</v>
      </c>
      <c r="Y255" s="355">
        <f>SUM(U255:X255)</f>
        <v>-8832</v>
      </c>
      <c r="Z255" s="368">
        <v>0</v>
      </c>
      <c r="AA255" s="368">
        <v>0</v>
      </c>
      <c r="AB255" s="368">
        <v>0</v>
      </c>
      <c r="AC255" s="368">
        <v>0</v>
      </c>
      <c r="AD255" s="355">
        <f>SUM(Z255:AC255)</f>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47">F148</f>
        <v>5405</v>
      </c>
      <c r="G256" s="353">
        <f>G148</f>
        <v>5517</v>
      </c>
      <c r="H256" s="353">
        <f>H148</f>
        <v>5156</v>
      </c>
      <c r="I256" s="353">
        <f>I148</f>
        <v>3452</v>
      </c>
      <c r="J256" s="282">
        <f>J148</f>
        <v>3452</v>
      </c>
      <c r="K256" s="353">
        <f>K148</f>
        <v>3095</v>
      </c>
      <c r="L256" s="353">
        <f>L148</f>
        <v>2439</v>
      </c>
      <c r="M256" s="353">
        <f>M148</f>
        <v>2238</v>
      </c>
      <c r="N256" s="444">
        <f>N148</f>
        <v>1727</v>
      </c>
      <c r="O256" s="282">
        <f>O148</f>
        <v>1727</v>
      </c>
      <c r="P256" s="353">
        <f>P148</f>
        <v>1722</v>
      </c>
      <c r="Q256" s="353">
        <f>Q148</f>
        <v>4134</v>
      </c>
      <c r="R256" s="444">
        <f>R148</f>
        <v>3942</v>
      </c>
      <c r="S256" s="353">
        <f>S148</f>
        <v>1117</v>
      </c>
      <c r="T256" s="282">
        <f>T148</f>
        <v>1117</v>
      </c>
      <c r="U256" s="353">
        <f>U148</f>
        <v>98</v>
      </c>
      <c r="V256" s="353">
        <f>V148</f>
        <v>-460</v>
      </c>
      <c r="W256" s="444">
        <f>W148</f>
        <v>-1913</v>
      </c>
      <c r="X256" s="281">
        <f>SUM(X252:X255)</f>
      </c>
      <c r="Y256" s="282">
        <f>SUM(Y252:Y255)</f>
      </c>
      <c r="Z256" s="281">
        <f>SUM(Z252:Z255)</f>
      </c>
      <c r="AA256" s="281">
        <f>SUM(AA252:AA255)</f>
      </c>
      <c r="AB256" s="281">
        <f>SUM(AB252:AB255)</f>
      </c>
      <c r="AC256" s="281">
        <f>SUM(AC252:AC255)</f>
      </c>
      <c r="AD256" s="282">
        <f>SUM(AD252:AD255)</f>
      </c>
      <c r="AE256" s="282">
        <f>SUM(AE252:AE255)</f>
      </c>
      <c r="AF256" s="282">
        <f>SUM(AF252:AF255)</f>
      </c>
      <c r="AG256" s="282">
        <f>SUM(AG252:AG255)</f>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48">E261</f>
        <v>0</v>
      </c>
      <c r="G259" s="353">
        <f>F261</f>
        <v>-71</v>
      </c>
      <c r="H259" s="353">
        <f>G261</f>
        <v>-142</v>
      </c>
      <c r="I259" s="353">
        <f>H261</f>
        <v>-165</v>
      </c>
      <c r="J259" s="282">
        <f>F259</f>
        <v>0</v>
      </c>
      <c r="K259" s="353">
        <f t="shared" ref="K259:N259" si="449">J261</f>
        <v>-209</v>
      </c>
      <c r="L259" s="353">
        <f>K261</f>
        <v>-256</v>
      </c>
      <c r="M259" s="353">
        <f>L261</f>
        <v>-187</v>
      </c>
      <c r="N259" s="444">
        <f>M261</f>
        <v>-164</v>
      </c>
      <c r="O259" s="282">
        <f>K259</f>
        <v>-209</v>
      </c>
      <c r="P259" s="353">
        <f t="shared" ref="P259:S259" si="450">O261</f>
        <v>-136</v>
      </c>
      <c r="Q259" s="353">
        <f>P261</f>
        <v>-393</v>
      </c>
      <c r="R259" s="353">
        <f>Q261</f>
        <v>-285</v>
      </c>
      <c r="S259" s="353">
        <f>R261</f>
        <v>-245</v>
      </c>
      <c r="T259" s="282">
        <f>P259</f>
        <v>-136</v>
      </c>
      <c r="U259" s="353">
        <f t="shared" ref="U259:X259" si="451">T261</f>
        <v>-136</v>
      </c>
      <c r="V259" s="353">
        <f>U261</f>
        <v>-11</v>
      </c>
      <c r="W259" s="353">
        <f>V261</f>
        <v>-65</v>
      </c>
      <c r="X259" s="281">
        <f>W261</f>
        <v>-6</v>
      </c>
      <c r="Y259" s="282">
        <f>T261</f>
        <v>-136</v>
      </c>
      <c r="Z259" s="281">
        <f t="shared" ref="Z259:AC259" si="452">Y261</f>
        <v>-6</v>
      </c>
      <c r="AA259" s="281">
        <f>Z261</f>
        <v>-6</v>
      </c>
      <c r="AB259" s="281">
        <f>AA261</f>
        <v>-6</v>
      </c>
      <c r="AC259" s="281">
        <f>AB261</f>
        <v>-6</v>
      </c>
      <c r="AD259" s="282">
        <f>Y261</f>
        <v>-6</v>
      </c>
      <c r="AE259" s="282">
        <f t="shared" ref="AE259:AG259" si="453">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54">F261-F259</f>
        <v>-71</v>
      </c>
      <c r="G260" s="372">
        <f>G261-G259</f>
        <v>-71</v>
      </c>
      <c r="H260" s="372">
        <f>H261-H259</f>
        <v>-23</v>
      </c>
      <c r="I260" s="372">
        <f>I261-I259</f>
        <v>-44</v>
      </c>
      <c r="J260" s="355">
        <f>SUM(F260:I260)</f>
        <v>-209</v>
      </c>
      <c r="K260" s="372">
        <f t="shared" ref="K260:N260" si="455">K261-K259</f>
        <v>-47</v>
      </c>
      <c r="L260" s="372">
        <f>L261-L259</f>
        <v>69</v>
      </c>
      <c r="M260" s="372">
        <f>M261-M259</f>
        <v>23</v>
      </c>
      <c r="N260" s="450">
        <f>N261-N259</f>
        <v>28</v>
      </c>
      <c r="O260" s="355">
        <f>SUM(K260:N260)</f>
        <v>73</v>
      </c>
      <c r="P260" s="372">
        <f t="shared" ref="P260:S260" si="456">P261-P259</f>
        <v>-257</v>
      </c>
      <c r="Q260" s="372">
        <f>Q261-Q259</f>
        <v>108</v>
      </c>
      <c r="R260" s="372">
        <f>R261-R259</f>
        <v>40</v>
      </c>
      <c r="S260" s="372">
        <f>S261-S259</f>
        <v>109</v>
      </c>
      <c r="T260" s="355">
        <f>SUM(P260:S260)</f>
        <v>0</v>
      </c>
      <c r="U260" s="372">
        <f t="shared" ref="U260:W260" si="457">U261-U259</f>
        <v>125</v>
      </c>
      <c r="V260" s="372">
        <f>V261-V259</f>
        <v>-54</v>
      </c>
      <c r="W260" s="372">
        <f>W261-W259</f>
        <v>59</v>
      </c>
      <c r="X260" s="385">
        <f>Drivers!X108</f>
        <v>0</v>
      </c>
      <c r="Y260" s="355">
        <f>SUM(U260:X260)</f>
        <v>130</v>
      </c>
      <c r="Z260" s="385">
        <f>Drivers!Z108</f>
        <v>0</v>
      </c>
      <c r="AA260" s="385">
        <f>Drivers!AA108</f>
        <v>0</v>
      </c>
      <c r="AB260" s="385">
        <f>Drivers!AB108</f>
        <v>0</v>
      </c>
      <c r="AC260" s="385">
        <f>Drivers!AC108</f>
        <v>0</v>
      </c>
      <c r="AD260" s="355">
        <f>SUM(Z260:AC260)</f>
        <v>0</v>
      </c>
      <c r="AE260" s="391">
        <f>Drivers!AE108</f>
        <v>0</v>
      </c>
      <c r="AF260" s="391">
        <f>Drivers!AF108</f>
        <v>0</v>
      </c>
      <c r="AG260" s="391">
        <f>Drivers!AG108</f>
        <v>0</v>
      </c>
      <c r="AH260" s="16"/>
      <c r="AI260" s="16"/>
      <c r="AJ260" s="16"/>
      <c r="AK260" s="16"/>
    </row>
    <row r="261" ht="13.5" customHeight="1" spans="1:37" x14ac:dyDescent="0.25">
      <c r="A261" s="264"/>
      <c r="B261" s="16"/>
      <c r="C261" s="139" t="s">
        <v>406</v>
      </c>
      <c r="D261" s="16"/>
      <c r="E261" s="16"/>
      <c r="F261" s="353">
        <f t="shared" ref="F261:I261" si="458">F150</f>
        <v>-71</v>
      </c>
      <c r="G261" s="353">
        <f>G150</f>
        <v>-142</v>
      </c>
      <c r="H261" s="353">
        <f>H150</f>
        <v>-165</v>
      </c>
      <c r="I261" s="353">
        <f>I150</f>
        <v>-209</v>
      </c>
      <c r="J261" s="282">
        <f>SUM(J259:J260)</f>
        <v>-209</v>
      </c>
      <c r="K261" s="353">
        <f t="shared" ref="K261:N261" si="459">K150</f>
        <v>-256</v>
      </c>
      <c r="L261" s="353">
        <f>L150</f>
        <v>-187</v>
      </c>
      <c r="M261" s="353">
        <f>M150</f>
        <v>-164</v>
      </c>
      <c r="N261" s="353">
        <f>N150</f>
        <v>-136</v>
      </c>
      <c r="O261" s="282">
        <f>SUM(O259:O260)</f>
        <v>-136</v>
      </c>
      <c r="P261" s="353">
        <f t="shared" ref="P261:S261" si="460">P150</f>
        <v>-393</v>
      </c>
      <c r="Q261" s="353">
        <f>Q150</f>
        <v>-285</v>
      </c>
      <c r="R261" s="353">
        <f>R150</f>
        <v>-245</v>
      </c>
      <c r="S261" s="353">
        <f>S150</f>
        <v>-136</v>
      </c>
      <c r="T261" s="282">
        <f>SUM(T259:T260)</f>
        <v>-136</v>
      </c>
      <c r="U261" s="353">
        <f t="shared" ref="U261:W261" si="461">U150</f>
        <v>-11</v>
      </c>
      <c r="V261" s="353">
        <f>V150</f>
        <v>-65</v>
      </c>
      <c r="W261" s="353">
        <f>W150</f>
        <v>-6</v>
      </c>
      <c r="X261" s="281">
        <f t="shared" ref="X261:AG261" si="462">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63">F267/F266</f>
        <v>0.4121212121212121</v>
      </c>
      <c r="G264" s="370">
        <f>G267/G266</f>
        <v>0.4157441574415744</v>
      </c>
      <c r="H264" s="370">
        <f>H267/H266</f>
        <v>0.4838709677419355</v>
      </c>
      <c r="I264" s="370">
        <f>I267/I266</f>
        <v>0.48314606741573035</v>
      </c>
      <c r="J264" s="127">
        <f>J267/J266</f>
        <v>1.8164794007490637</v>
      </c>
      <c r="K264" s="370">
        <f>K267/K266</f>
        <v>0.4666666666666667</v>
      </c>
      <c r="L264" s="370">
        <f>L267/L266</f>
        <v>0.4698646986469865</v>
      </c>
      <c r="M264" s="370">
        <f>M267/M266</f>
        <v>0.5310173697270472</v>
      </c>
      <c r="N264" s="370">
        <f>N267/N266</f>
        <v>0.5280898876404494</v>
      </c>
      <c r="O264" s="127">
        <f>O267/O266</f>
        <v>2.0199750312109863</v>
      </c>
      <c r="P264" s="370">
        <f>P267/P266</f>
        <v>0.5562913907284768</v>
      </c>
      <c r="Q264" s="370">
        <f>Q267/Q266</f>
        <v>0.5531914893617021</v>
      </c>
      <c r="R264" s="370">
        <f>R267/R266</f>
        <v>0.5531914893617021</v>
      </c>
      <c r="S264" s="370">
        <f>S267/S266</f>
        <v>0.6042780748663101</v>
      </c>
      <c r="T264" s="127">
        <f>T267/T266</f>
        <v>2.27807486631016</v>
      </c>
      <c r="U264" s="370">
        <f>U267/U266</f>
        <v>0.6128133704735376</v>
      </c>
      <c r="V264" s="370">
        <f>V267/V266</f>
        <v>0.6099290780141844</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64">4*F264/F239</f>
        <v>0.019172887281749807</v>
      </c>
      <c r="G265" s="397">
        <f>4*G264/G239</f>
        <v>0.01811521383187688</v>
      </c>
      <c r="H265" s="397">
        <f>4*H264/H239</f>
        <v>0.020230833813815637</v>
      </c>
      <c r="I265" s="397">
        <f>4*I264/I239</f>
        <v>0.017368421584101023</v>
      </c>
      <c r="J265" s="398">
        <f>J264/J239</f>
        <v>0.019322090039684513</v>
      </c>
      <c r="K265" s="397">
        <f t="shared" ref="K265:N265" si="465">4*K264/K239</f>
        <v>0.01823807197524833</v>
      </c>
      <c r="L265" s="397">
        <f>4*L264/L239</f>
        <v>0.01832009742263326</v>
      </c>
      <c r="M265" s="397">
        <f>4*M264/M239</f>
        <v>0.019592929424482878</v>
      </c>
      <c r="N265" s="397">
        <f>4*N264/N239</f>
        <v>0.02004706795636137</v>
      </c>
      <c r="O265" s="398">
        <f>O264/O239</f>
        <v>0.01940322266379651</v>
      </c>
      <c r="P265" s="397">
        <f t="shared" ref="P265:S265" si="466">4*P264/P239</f>
        <v>0.022526478668899647</v>
      </c>
      <c r="Q265" s="397">
        <f>4*Q264/Q239</f>
        <v>0.022400951178850055</v>
      </c>
      <c r="R265" s="397">
        <f>4*R264/R239</f>
        <v>0.013074582213138853</v>
      </c>
      <c r="S265" s="397">
        <f>4*S264/S239</f>
        <v>0.011536501203588763</v>
      </c>
      <c r="T265" s="398">
        <f>T264/T239</f>
        <v>0.01353413108895355</v>
      </c>
      <c r="U265" s="397">
        <f t="shared" ref="U265:W265" si="467">4*U264/U239</f>
        <v>0.013453641503260979</v>
      </c>
      <c r="V265" s="397">
        <f>4*V264/V239</f>
        <v>0.012778959704955387</v>
      </c>
      <c r="W265" s="397">
        <f>4*W264/W239</f>
        <v>0.015815639175527117</v>
      </c>
      <c r="X265" s="399">
        <f>X264*4/X239</f>
        <v>0.013255607773099433</v>
      </c>
      <c r="Y265" s="398">
        <f>Y264/Y239</f>
        <v>0.014445001368382868</v>
      </c>
      <c r="Z265" s="399">
        <f t="shared" ref="Z265:AC265" si="468">Z264*4/Z239</f>
        <v>0.012944953224338555</v>
      </c>
      <c r="AA265" s="399">
        <f>AA264*4/AA239</f>
        <v>0.012691334904192815</v>
      </c>
      <c r="AB265" s="399">
        <f>AB264*4/AB239</f>
        <v>0.01667027459747688</v>
      </c>
      <c r="AC265" s="399">
        <f>AC264*4/AC239</f>
        <v>0.015440830034318303</v>
      </c>
      <c r="AD265" s="398">
        <f t="shared" ref="AD265:AG265" si="469">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70">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71">-F254</f>
        <v>340</v>
      </c>
      <c r="G267" s="353">
        <f>-G254</f>
        <v>338</v>
      </c>
      <c r="H267" s="353">
        <f>-H254</f>
        <v>390</v>
      </c>
      <c r="I267" s="353">
        <f>-I254</f>
        <v>387</v>
      </c>
      <c r="J267" s="282">
        <f>SUM(F267:I267)</f>
        <v>1455</v>
      </c>
      <c r="K267" s="353">
        <f t="shared" ref="K267:N267" si="472">-K254</f>
        <v>385</v>
      </c>
      <c r="L267" s="353">
        <f>-L254</f>
        <v>382</v>
      </c>
      <c r="M267" s="353">
        <f>-M254</f>
        <v>428</v>
      </c>
      <c r="N267" s="353">
        <f>-N254</f>
        <v>423</v>
      </c>
      <c r="O267" s="282">
        <f>SUM(K267:N267)</f>
        <v>1618</v>
      </c>
      <c r="P267" s="353">
        <f t="shared" ref="P267:S267" si="473">-P254</f>
        <v>420</v>
      </c>
      <c r="Q267" s="353">
        <f>-Q254</f>
        <v>416</v>
      </c>
      <c r="R267" s="353">
        <f>-R254</f>
        <v>416</v>
      </c>
      <c r="S267" s="353">
        <f>-S254</f>
        <v>452</v>
      </c>
      <c r="T267" s="282">
        <f>SUM(P267:S267)</f>
        <v>1704</v>
      </c>
      <c r="U267" s="353">
        <f t="shared" ref="U267:W267" si="474">-U254</f>
        <v>440</v>
      </c>
      <c r="V267" s="353">
        <f>-V254</f>
        <v>430</v>
      </c>
      <c r="W267" s="353">
        <f>-W254</f>
        <v>563</v>
      </c>
      <c r="X267" s="281">
        <f>S267*(1+X273)</f>
        <v>519.8</v>
      </c>
      <c r="Y267" s="282">
        <f>SUM(U267:X267)</f>
        <v>1952.8</v>
      </c>
      <c r="Z267" s="281">
        <f t="shared" ref="Z267:AC267" si="475">U267*(1+Z273)</f>
        <v>505.99999999999994</v>
      </c>
      <c r="AA267" s="281">
        <f>V267*(1+AA273)</f>
        <v>494.49999999999994</v>
      </c>
      <c r="AB267" s="281">
        <f>W267*(1+AB273)</f>
        <v>647.4499999999999</v>
      </c>
      <c r="AC267" s="281">
        <f>X267*(1+AC273)</f>
        <v>597.7699999999999</v>
      </c>
      <c r="AD267" s="282">
        <f>SUM(Z267:AC267)</f>
        <v>2245.72</v>
      </c>
      <c r="AE267" s="282">
        <f t="shared" ref="AE267:AG267" si="476">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0</v>
      </c>
      <c r="K271" s="413">
        <v>0</v>
      </c>
      <c r="L271" s="413">
        <v>0</v>
      </c>
      <c r="M271" s="413">
        <v>0</v>
      </c>
      <c r="N271" s="413">
        <v>0</v>
      </c>
      <c r="O271" s="329">
        <f>SUM(K271:N271)</f>
        <v>0</v>
      </c>
      <c r="P271" s="413">
        <v>0</v>
      </c>
      <c r="Q271" s="413">
        <v>0</v>
      </c>
      <c r="R271" s="413">
        <v>0</v>
      </c>
      <c r="S271" s="413">
        <v>0</v>
      </c>
      <c r="T271" s="329">
        <f>SUM(P271:S271)</f>
        <v>0</v>
      </c>
      <c r="U271" s="413">
        <v>0</v>
      </c>
      <c r="V271" s="413">
        <v>0</v>
      </c>
      <c r="W271" s="413">
        <v>0</v>
      </c>
      <c r="X271" s="417">
        <v>0</v>
      </c>
      <c r="Y271" s="329">
        <f t="shared" ref="Y271:Y272" si="477">SUM(U271:X271)</f>
        <v>0</v>
      </c>
      <c r="Z271" s="417">
        <v>0</v>
      </c>
      <c r="AA271" s="417">
        <v>0</v>
      </c>
      <c r="AB271" s="417">
        <v>0</v>
      </c>
      <c r="AC271" s="417">
        <v>0</v>
      </c>
      <c r="AD271" s="329">
        <f t="shared" ref="AD271:AD272" si="478">SUM(Z271:AC271)</f>
        <v>0</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79">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80">K267/F267-1</f>
        <v>0.13235294117647056</v>
      </c>
      <c r="L273" s="397">
        <f>L267/G267-1</f>
        <v>0.1301775147928994</v>
      </c>
      <c r="M273" s="397">
        <f>M267/H267-1</f>
        <v>0.09743589743589753</v>
      </c>
      <c r="N273" s="397">
        <f>N267/I267-1</f>
        <v>0.09302325581395343</v>
      </c>
      <c r="O273" s="398">
        <f>O267/J267-1</f>
        <v>0.11202749140893475</v>
      </c>
      <c r="P273" s="397">
        <f>P267/K267-1</f>
        <v>0.09090909090909083</v>
      </c>
      <c r="Q273" s="397">
        <f>Q267/L267-1</f>
        <v>0.08900523560209428</v>
      </c>
      <c r="R273" s="397">
        <f>R267/M267-1</f>
        <v>-0.028037383177570097</v>
      </c>
      <c r="S273" s="397">
        <f>S267/N267-1</f>
        <v>0.0685579196217494</v>
      </c>
      <c r="T273" s="398">
        <f>T267/O267-1</f>
        <v>0.05315203955500625</v>
      </c>
      <c r="U273" s="397">
        <f>U267/P267-1</f>
        <v>0.04761904761904767</v>
      </c>
      <c r="V273" s="397">
        <f>V267/Q267-1</f>
        <v>0.033653846153846256</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t="str">
        <f>F$25</f>
        <v>1Q23</v>
      </c>
      <c r="G275" s="63" t="str">
        <f t="shared" ref="G275:AG275" si="481">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82">Y280</f>
        <v>671.6029227679047</v>
      </c>
      <c r="AA277" s="360">
        <f>Z280</f>
        <v>669.4586565358094</v>
      </c>
      <c r="AB277" s="360">
        <f>AA280</f>
        <v>667.314390303714</v>
      </c>
      <c r="AC277" s="360">
        <f>AB280</f>
        <v>665.1701240716187</v>
      </c>
      <c r="AD277" s="162">
        <f>Y280</f>
        <v>671.6029227679047</v>
      </c>
      <c r="AE277" s="453">
        <f t="shared" ref="AE277:AG277" si="483">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0</v>
      </c>
      <c r="Y278" s="453">
        <f t="shared" ref="Y278:Y279" si="484">SUM(U278:X278)</f>
        <v>0</v>
      </c>
      <c r="Z278" s="360">
        <f t="shared" ref="Z278:AC278" si="485">Z271</f>
        <v>0</v>
      </c>
      <c r="AA278" s="360">
        <f>AA271</f>
      </c>
      <c r="AB278" s="360">
        <f>AB271</f>
      </c>
      <c r="AC278" s="360">
        <f>AC271</f>
      </c>
      <c r="AD278" s="453">
        <f t="shared" ref="AD278:AD279" si="486">SUM(Z278:AC278)</f>
        <v>0</v>
      </c>
      <c r="AE278" s="453">
        <f t="shared" ref="AE278:AG278" si="487">AE271</f>
        <v>0</v>
      </c>
      <c r="AF278" s="453">
        <f>AF271</f>
      </c>
      <c r="AG278" s="453">
        <f>AG271</f>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88">-Z240</f>
        <v>-2.1442662320953767</v>
      </c>
      <c r="AA279" s="458">
        <f>-AA240</f>
        <v>-2.1442662320953767</v>
      </c>
      <c r="AB279" s="458">
        <f>-AB240</f>
        <v>-2.1442662320953767</v>
      </c>
      <c r="AC279" s="458">
        <f>-AC240</f>
        <v>-2.1442662320953767</v>
      </c>
      <c r="AD279" s="459">
        <f>SUM(Z279:AC279)</f>
        <v>-8.577064928381507</v>
      </c>
      <c r="AE279" s="459">
        <f t="shared" ref="AE279:AG279" si="489">-AE240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90">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91">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92">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93">F284-F282</f>
        <v>1</v>
      </c>
      <c r="G283" s="372">
        <f>G284-G282</f>
        <v>1</v>
      </c>
      <c r="H283" s="372">
        <f>H284-H282</f>
        <v>1</v>
      </c>
      <c r="I283" s="372">
        <f>I284-I282</f>
      </c>
      <c r="J283" s="355">
        <f>J284-J282</f>
      </c>
      <c r="K283" s="372">
        <f>K284-K282</f>
        <v>1</v>
      </c>
      <c r="L283" s="372">
        <f>L284-L282</f>
        <v>1</v>
      </c>
      <c r="M283" s="372">
        <f>M284-M282</f>
        <v>1</v>
      </c>
      <c r="N283" s="372">
        <f>N284-N282</f>
      </c>
      <c r="O283" s="355">
        <f>O284-O282</f>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94">Z283</f>
        <v>2</v>
      </c>
      <c r="AB283" s="368">
        <f>AA283</f>
        <v>2</v>
      </c>
      <c r="AC283" s="368">
        <f>AB283</f>
        <v>2</v>
      </c>
      <c r="AD283" s="355">
        <f>AD284-AD282</f>
        <v>2</v>
      </c>
      <c r="AE283" s="369">
        <f>AC283</f>
        <v>2</v>
      </c>
      <c r="AF283" s="369">
        <f t="shared" ref="AF283:AG283" si="495">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96">SUM(Z282:Z283)</f>
        <v>672.530789651857</v>
      </c>
      <c r="AA284" s="359">
        <f>SUM(AA282:AA283)</f>
        <v>670.3865234197617</v>
      </c>
      <c r="AB284" s="359">
        <f>SUM(AB282:AB283)</f>
        <v>668.2422571876664</v>
      </c>
      <c r="AC284" s="359">
        <f>SUM(AC282:AC283)</f>
        <v>666.097990955571</v>
      </c>
      <c r="AD284" s="162">
        <f>AVERAGE(Z284:AC284)</f>
        <v>669.314390303714</v>
      </c>
      <c r="AE284" s="162">
        <f t="shared" ref="AE284:AG284" si="497">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t="str">
        <f>F$25</f>
        <v>1Q23</v>
      </c>
      <c r="G286" s="63" t="str">
        <f t="shared" ref="G286:AG286" si="498">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c>
      <c r="Y288" s="16"/>
      <c r="Z288" s="281">
        <f>Z87</f>
      </c>
      <c r="AA288" s="281">
        <f>AA87</f>
      </c>
      <c r="AB288" s="281">
        <f>AB87</f>
      </c>
      <c r="AC288" s="281">
        <f>AC87</f>
      </c>
      <c r="AD288" s="16"/>
      <c r="AE288" s="282">
        <f>AE87</f>
      </c>
      <c r="AF288" s="282">
        <f>AF87</f>
      </c>
      <c r="AG288" s="282">
        <f>AG87</f>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99">-Z241</f>
        <v>-500</v>
      </c>
      <c r="AA289" s="359">
        <f>-AA241</f>
        <v>-500</v>
      </c>
      <c r="AB289" s="359">
        <f>-AB241</f>
        <v>-500</v>
      </c>
      <c r="AC289" s="359">
        <f>-AC241</f>
        <v>-500</v>
      </c>
      <c r="AD289" s="16"/>
      <c r="AE289" s="162">
        <f t="shared" ref="AE289:AG289" si="500">-AE241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501">-Z267</f>
        <v>-505.99999999999994</v>
      </c>
      <c r="AA290" s="359">
        <f>-AA267</f>
        <v>-494.49999999999994</v>
      </c>
      <c r="AB290" s="359">
        <f>-AB267</f>
        <v>-647.4499999999999</v>
      </c>
      <c r="AC290" s="359">
        <f>-AC267</f>
        <v>-597.7699999999999</v>
      </c>
      <c r="AD290" s="16"/>
      <c r="AE290" s="162">
        <f t="shared" ref="AE290:AG290" si="502">-AE267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0</v>
      </c>
      <c r="Y291" s="16"/>
      <c r="Z291" s="330">
        <f t="shared" ref="Z291:AC291" si="503">Z245</f>
        <v>0</v>
      </c>
      <c r="AA291" s="330">
        <f>AA245</f>
      </c>
      <c r="AB291" s="330">
        <f>AB245</f>
      </c>
      <c r="AC291" s="330">
        <f>AC245</f>
      </c>
      <c r="AD291" s="16"/>
      <c r="AE291" s="329">
        <f t="shared" ref="AE291:AG291" si="504">AE245</f>
        <v>0</v>
      </c>
      <c r="AF291" s="329">
        <f>AF245</f>
      </c>
      <c r="AG291" s="329">
        <f>AG245</f>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c>
      <c r="AA292" s="359">
        <f>AA102</f>
      </c>
      <c r="AB292" s="359">
        <f>AB102</f>
      </c>
      <c r="AC292" s="359">
        <f>AC102</f>
      </c>
      <c r="AD292" s="16"/>
      <c r="AE292" s="162">
        <f>AE102</f>
      </c>
      <c r="AF292" s="162">
        <f>AF102</f>
      </c>
      <c r="AG292" s="162">
        <f>AG102</f>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505">Z299*Z28</f>
        <v>-16.04103245794392</v>
      </c>
      <c r="AA293" s="359">
        <f>AA299*AA28</f>
        <v>-18.286777002056073</v>
      </c>
      <c r="AB293" s="359">
        <f>AB299*AB28</f>
        <v>-16.092363761809345</v>
      </c>
      <c r="AC293" s="359">
        <f>AC299*AC28</f>
        <v>-15.287745573718876</v>
      </c>
      <c r="AD293" s="16"/>
      <c r="AE293" s="162">
        <f t="shared" ref="AE293:AG293" si="506">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c>
      <c r="Y294" s="16"/>
      <c r="Z294" s="281">
        <f>SUM(Z288:Z293)</f>
      </c>
      <c r="AA294" s="281">
        <f>SUM(AA288:AA293)</f>
      </c>
      <c r="AB294" s="281">
        <f>SUM(AB288:AB293)</f>
      </c>
      <c r="AC294" s="281">
        <f>SUM(AC288:AC293)</f>
      </c>
      <c r="AD294" s="16"/>
      <c r="AE294" s="282">
        <f>SUM(AE288:AE293)</f>
      </c>
      <c r="AF294" s="282">
        <f>SUM(AF288:AF293)</f>
      </c>
      <c r="AG294" s="282">
        <f>SUM(AG288:AG293)</f>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0</v>
      </c>
      <c r="Y295" s="461"/>
      <c r="Z295" s="460">
        <f>Drivers!Z152</f>
        <v>0</v>
      </c>
      <c r="AA295" s="460">
        <f>Drivers!AA152</f>
        <v>0</v>
      </c>
      <c r="AB295" s="460">
        <f>Drivers!AB152</f>
        <v>0</v>
      </c>
      <c r="AC295" s="460">
        <f>Drivers!AC152</f>
        <v>0</v>
      </c>
      <c r="AD295" s="16"/>
      <c r="AE295" s="462">
        <f>Drivers!AE152</f>
        <v>0</v>
      </c>
      <c r="AF295" s="462">
        <f>Drivers!AF152</f>
        <v>0</v>
      </c>
      <c r="AG295" s="462">
        <f>Drivers!AG152</f>
        <v>0</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c>
      <c r="Y297" s="16"/>
      <c r="Z297" s="281">
        <f>SUM(Z294:Z296)</f>
      </c>
      <c r="AA297" s="281">
        <f>SUM(AA294:AA296)</f>
      </c>
      <c r="AB297" s="281">
        <f>SUM(AB294:AB296)</f>
      </c>
      <c r="AC297" s="281">
        <f>SUM(AC294:AC296)</f>
      </c>
      <c r="AD297" s="16"/>
      <c r="AE297" s="282">
        <f>SUM(AE294:AE296)</f>
      </c>
      <c r="AF297" s="282">
        <f>SUM(AF294:AF296)</f>
      </c>
      <c r="AG297" s="282">
        <f>SUM(AG294:AG296)</f>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07">F178/F28</f>
        <v>0</v>
      </c>
      <c r="G299" s="463">
        <f>G178/G28</f>
        <v>-0.009527001148985062</v>
      </c>
      <c r="H299" s="463">
        <f>H178/H28</f>
        <v>0.010393339075509617</v>
      </c>
      <c r="I299" s="463">
        <f>I178/I28</f>
        <v>0.0766969193404065</v>
      </c>
      <c r="J299" s="464">
        <f>J178/J28</f>
      </c>
      <c r="K299" s="463">
        <f>K178/K28</f>
        <v>0.04176765684008793</v>
      </c>
      <c r="L299" s="463">
        <f>L178/L28</f>
        <v>-0.03286966463414634</v>
      </c>
      <c r="M299" s="463">
        <f>M178/M28</f>
        <v>-0.038129744651483784</v>
      </c>
      <c r="N299" s="463">
        <f>N178/N28</f>
        <v>-0.03905908778935546</v>
      </c>
      <c r="O299" s="464">
        <f>O178/O28</f>
        <v>-0.017159172811443146</v>
      </c>
      <c r="P299" s="463">
        <f>P178/P28</f>
        <v>0.10561626429479035</v>
      </c>
      <c r="Q299" s="463">
        <f>Q178/Q28</f>
        <v>0.09255732180792615</v>
      </c>
      <c r="R299" s="463">
        <f>R178/R28</f>
        <v>-0.09135326549822942</v>
      </c>
      <c r="S299" s="463">
        <f>S178/S28</f>
        <v>-0.11599625818521983</v>
      </c>
      <c r="T299" s="464">
        <f>T178/T28</f>
        <v>0.002354989564382736</v>
      </c>
      <c r="U299" s="463">
        <f>U178/U28</f>
        <v>0.036483498484972565</v>
      </c>
      <c r="V299" s="463">
        <f>V178/V28</f>
        <v>-0.032390279289082335</v>
      </c>
      <c r="W299" s="463">
        <f>W178/W28</f>
        <v>-0.0017453529976437735</v>
      </c>
      <c r="X299" s="465">
        <f>AVERAGE($F$299:$V$299)</f>
        <v>-0.0006243814470511484</v>
      </c>
      <c r="Y299" s="16"/>
      <c r="Z299" s="465">
        <f t="shared" ref="Z299:AC299" si="508">AVERAGE($F$299:$V$299)</f>
        <v>-0.0006243814470511484</v>
      </c>
      <c r="AA299" s="465">
        <f>AVERAGE($F$299:$V$299)</f>
        <v>-0.0006243814470511484</v>
      </c>
      <c r="AB299" s="465">
        <f>AVERAGE($F$299:$V$299)</f>
        <v>-0.0006243814470511484</v>
      </c>
      <c r="AC299" s="465">
        <f>AVERAGE($F$299:$V$299)</f>
        <v>-0.0006243814470511484</v>
      </c>
      <c r="AD299" s="16"/>
      <c r="AE299" s="464">
        <f t="shared" ref="AE299:AG299" si="509">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10">E304</f>
        <v>0</v>
      </c>
      <c r="G302" s="353">
        <f>F304</f>
      </c>
      <c r="H302" s="353">
        <f>G304</f>
      </c>
      <c r="I302" s="353">
        <f>H304</f>
      </c>
      <c r="J302" s="282">
        <f>F302</f>
        <v>0</v>
      </c>
      <c r="K302" s="353">
        <f t="shared" ref="K302:N302" si="511">J304</f>
        <v>0</v>
      </c>
      <c r="L302" s="353">
        <f>K304</f>
      </c>
      <c r="M302" s="353">
        <f>L304</f>
      </c>
      <c r="N302" s="353">
        <f>M304</f>
      </c>
      <c r="O302" s="282">
        <f>K302</f>
        <v>0</v>
      </c>
      <c r="P302" s="353">
        <f t="shared" ref="P302:S302" si="512">O304</f>
        <v>0</v>
      </c>
      <c r="Q302" s="353">
        <f>P304</f>
      </c>
      <c r="R302" s="353">
        <f>Q304</f>
      </c>
      <c r="S302" s="353">
        <f>R304</f>
      </c>
      <c r="T302" s="282">
        <f>P302</f>
        <v>0</v>
      </c>
      <c r="U302" s="353">
        <f t="shared" ref="U302:X302" si="513">T304</f>
        <v>0</v>
      </c>
      <c r="V302" s="353">
        <f>U304</f>
      </c>
      <c r="W302" s="353">
        <f>V304</f>
      </c>
      <c r="X302" s="281">
        <f>W304</f>
      </c>
      <c r="Y302" s="16"/>
      <c r="Z302" s="281">
        <f>X304</f>
      </c>
      <c r="AA302" s="281">
        <f>Z304</f>
      </c>
      <c r="AB302" s="281">
        <f>AA304</f>
      </c>
      <c r="AC302" s="281">
        <f>AB304</f>
      </c>
      <c r="AD302" s="16"/>
      <c r="AE302" s="282">
        <f>AC304</f>
      </c>
      <c r="AF302" s="282">
        <f>AE304</f>
      </c>
      <c r="AG302" s="282">
        <f>AF304</f>
      </c>
      <c r="AH302" s="16"/>
      <c r="AI302" s="16"/>
      <c r="AJ302" s="16"/>
      <c r="AK302" s="16"/>
    </row>
    <row r="303" ht="13.5" customHeight="1" spans="1:37" x14ac:dyDescent="0.25">
      <c r="A303" s="264"/>
      <c r="B303" s="16"/>
      <c r="C303" s="139" t="s">
        <v>435</v>
      </c>
      <c r="D303" s="16"/>
      <c r="E303" s="16"/>
      <c r="F303" s="384">
        <f t="shared" ref="F303:I303" si="514">F304-F302</f>
        <v>0</v>
      </c>
      <c r="G303" s="384">
        <f>G304-G302</f>
      </c>
      <c r="H303" s="384">
        <f>H304-H302</f>
      </c>
      <c r="I303" s="384">
        <f>I304-I302</f>
      </c>
      <c r="J303" s="162">
        <f>IF(J305&gt;J302,J305-J302,0)</f>
        <v>0</v>
      </c>
      <c r="K303" s="384">
        <f t="shared" ref="K303:N303" si="515">K304-K302</f>
        <v>0</v>
      </c>
      <c r="L303" s="384">
        <f>L304-L302</f>
      </c>
      <c r="M303" s="384">
        <f>M304-M302</f>
      </c>
      <c r="N303" s="384">
        <f>N304-N302</f>
      </c>
      <c r="O303" s="162">
        <f>IF(O305&gt;O302,O305-O302,0)</f>
        <v>0</v>
      </c>
      <c r="P303" s="384">
        <f t="shared" ref="P303:S303" si="516">P304-P302</f>
        <v>0</v>
      </c>
      <c r="Q303" s="384">
        <f>Q304-Q302</f>
      </c>
      <c r="R303" s="384">
        <f>R304-R302</f>
      </c>
      <c r="S303" s="384">
        <f>S304-S302</f>
      </c>
      <c r="T303" s="162">
        <f>IF(T305&gt;T302,T305-T302,0)</f>
        <v>0</v>
      </c>
      <c r="U303" s="384">
        <f t="shared" ref="U303:W303" si="517">U304-U302</f>
        <v>0</v>
      </c>
      <c r="V303" s="384">
        <f>V304-V302</f>
      </c>
      <c r="W303" s="384">
        <f>W304-W302</f>
      </c>
      <c r="X303" s="330">
        <f>IF(X297&lt;0,-X297,IF(X297&gt;X302,-X302,-X297))</f>
      </c>
      <c r="Y303" s="16"/>
      <c r="Z303" s="330">
        <f>IF(Z297&lt;0,-Z297,IF(Z297&gt;Z302,-Z302,-Z297))</f>
      </c>
      <c r="AA303" s="330">
        <f>IF(AA297&lt;0,-AA297,IF(AA297&gt;AA302,-AA302,-AA297))</f>
      </c>
      <c r="AB303" s="330">
        <f>IF(AB297&lt;0,-AB297,IF(AB297&gt;AB302,-AB302,-AB297))</f>
      </c>
      <c r="AC303" s="330">
        <f>IF(AC297&lt;0,-AC297,IF(AC297&gt;AC302,-AC302,-AC297))</f>
      </c>
      <c r="AD303" s="16"/>
      <c r="AE303" s="329">
        <f>IF(AE297&lt;0,-AE297,IF(AE297&gt;AE302,-AE302,-AE297))</f>
      </c>
      <c r="AF303" s="329">
        <f>IF(AF297&lt;0,-AF297,IF(AF297&gt;AF302,-AF302,-AF297))</f>
      </c>
      <c r="AG303" s="329">
        <f>IF(AG297&lt;0,-AG297,IF(AG297&gt;AG302,-AG302,-AG297))</f>
      </c>
      <c r="AH303" s="16"/>
      <c r="AI303" s="16"/>
      <c r="AJ303" s="16"/>
      <c r="AK303" s="16"/>
    </row>
    <row r="304" ht="13.5" customHeight="1" spans="1:37" x14ac:dyDescent="0.25">
      <c r="A304" s="264"/>
      <c r="B304" s="16"/>
      <c r="C304" s="16" t="s">
        <v>406</v>
      </c>
      <c r="D304" s="16"/>
      <c r="E304" s="16"/>
      <c r="F304" s="353">
        <f t="shared" ref="F304:W304" si="518">F139</f>
        <v>0</v>
      </c>
      <c r="G304" s="353">
        <f>G139</f>
      </c>
      <c r="H304" s="353">
        <f>H139</f>
      </c>
      <c r="I304" s="353">
        <f>I139</f>
      </c>
      <c r="J304" s="282">
        <f>J139</f>
      </c>
      <c r="K304" s="353">
        <f>K139</f>
      </c>
      <c r="L304" s="353">
        <f>L139</f>
      </c>
      <c r="M304" s="353">
        <f>M139</f>
      </c>
      <c r="N304" s="353">
        <f>N139</f>
      </c>
      <c r="O304" s="282">
        <f>O139</f>
      </c>
      <c r="P304" s="353">
        <f>P139</f>
      </c>
      <c r="Q304" s="353">
        <f>Q139</f>
      </c>
      <c r="R304" s="353">
        <f>R139</f>
      </c>
      <c r="S304" s="353">
        <f>S139</f>
      </c>
      <c r="T304" s="282">
        <f>T139</f>
      </c>
      <c r="U304" s="353">
        <f>U139</f>
      </c>
      <c r="V304" s="353">
        <f>V139</f>
      </c>
      <c r="W304" s="353">
        <f>W139</f>
      </c>
      <c r="X304" s="281">
        <f>SUM(X302:X303)</f>
      </c>
      <c r="Y304" s="16"/>
      <c r="Z304" s="281">
        <f>SUM(Z302:Z303)</f>
      </c>
      <c r="AA304" s="281">
        <f>SUM(AA302:AA303)</f>
      </c>
      <c r="AB304" s="281">
        <f>SUM(AB302:AB303)</f>
      </c>
      <c r="AC304" s="281">
        <f>SUM(AC302:AC303)</f>
      </c>
      <c r="AD304" s="16"/>
      <c r="AE304" s="282">
        <f>SUM(AE302:AE303)</f>
      </c>
      <c r="AF304" s="282">
        <f>SUM(AF302:AF303)</f>
      </c>
      <c r="AG304" s="282">
        <f>SUM(AG302:AG303)</f>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19">E310</f>
        <v>0</v>
      </c>
      <c r="G307" s="353">
        <f>F310</f>
        <v>15844</v>
      </c>
      <c r="H307" s="353">
        <f>G310</f>
        <v>15831</v>
      </c>
      <c r="I307" s="353">
        <f>H310</f>
        <v>15577</v>
      </c>
      <c r="J307" s="282">
        <f>F307</f>
        <v>0</v>
      </c>
      <c r="K307" s="353">
        <f t="shared" ref="K307:N307" si="520">J310</f>
        <v>15501</v>
      </c>
      <c r="L307" s="353">
        <f>K310</f>
        <v>17550</v>
      </c>
      <c r="M307" s="353">
        <f>L310</f>
        <v>17547</v>
      </c>
      <c r="N307" s="353">
        <f>M310</f>
        <v>17209</v>
      </c>
      <c r="O307" s="282">
        <f>K307</f>
        <v>15501</v>
      </c>
      <c r="P307" s="353">
        <f t="shared" ref="P307:S307" si="521">O310</f>
        <v>17365</v>
      </c>
      <c r="Q307" s="353">
        <f>P310</f>
        <v>20804</v>
      </c>
      <c r="R307" s="353">
        <f>Q310</f>
        <v>20806</v>
      </c>
      <c r="S307" s="353">
        <f>R310</f>
        <v>21794</v>
      </c>
      <c r="T307" s="282">
        <f>P307</f>
        <v>17365</v>
      </c>
      <c r="U307" s="353">
        <f t="shared" ref="U307:X307" si="522">T310</f>
        <v>26211</v>
      </c>
      <c r="V307" s="353">
        <f>U310</f>
        <v>23244</v>
      </c>
      <c r="W307" s="353">
        <f>V310</f>
        <v>23311</v>
      </c>
      <c r="X307" s="281">
        <f>W310</f>
        <v>25233</v>
      </c>
      <c r="Y307" s="16"/>
      <c r="Z307" s="281">
        <f>X310</f>
        <v>24733</v>
      </c>
      <c r="AA307" s="281">
        <f t="shared" ref="AA307:AC307" si="523">Z310</f>
        <v>24233</v>
      </c>
      <c r="AB307" s="281">
        <f>AA310</f>
        <v>23733</v>
      </c>
      <c r="AC307" s="281">
        <f>AB310</f>
        <v>23233</v>
      </c>
      <c r="AD307" s="16"/>
      <c r="AE307" s="282">
        <f>AC310</f>
        <v>22733</v>
      </c>
      <c r="AF307" s="282">
        <f t="shared" ref="AF307:AG307" si="524">AE310</f>
        <v>21333</v>
      </c>
      <c r="AG307" s="282">
        <f>AF310</f>
        <v>20033</v>
      </c>
      <c r="AH307" s="16"/>
      <c r="AI307" s="16"/>
      <c r="AJ307" s="16"/>
      <c r="AK307" s="16"/>
    </row>
    <row r="308" ht="13.5" customHeight="1" spans="1:37" x14ac:dyDescent="0.25">
      <c r="A308" s="264"/>
      <c r="B308" s="16"/>
      <c r="C308" s="139" t="s">
        <v>310</v>
      </c>
      <c r="D308" s="16"/>
      <c r="E308" s="16"/>
      <c r="F308" s="384">
        <f t="shared" ref="F308:W308" si="525">IF(F310&gt;F307,F310-F307,0)</f>
        <v>15844</v>
      </c>
      <c r="G308" s="384">
        <f>IF(G310&gt;G307,G310-G307,0)</f>
      </c>
      <c r="H308" s="384">
        <f>IF(H310&gt;H307,H310-H307,0)</f>
      </c>
      <c r="I308" s="384">
        <f>IF(I310&gt;I307,I310-I307,0)</f>
      </c>
      <c r="J308" s="162">
        <f>IF(J310&gt;J307,J310-J307,0)</f>
        <v>15501</v>
      </c>
      <c r="K308" s="384">
        <f>IF(K310&gt;K307,K310-K307,0)</f>
        <v>2049</v>
      </c>
      <c r="L308" s="384">
        <f>IF(L310&gt;L307,L310-L307,0)</f>
      </c>
      <c r="M308" s="384">
        <f>IF(M310&gt;M307,M310-M307,0)</f>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c>
      <c r="V308" s="384">
        <f>IF(V310&gt;V307,V310-V307,0)</f>
        <v>67</v>
      </c>
      <c r="W308" s="384">
        <f>IF(W310&gt;W307,W310-W307,0)</f>
        <v>1922</v>
      </c>
      <c r="X308" s="330">
        <f t="shared" ref="X308:X309" si="526">X295</f>
        <v>0</v>
      </c>
      <c r="Y308" s="16"/>
      <c r="Z308" s="330">
        <f t="shared" ref="Z308:AC308" si="527">Z295</f>
        <v>0</v>
      </c>
      <c r="AA308" s="330">
        <f>AA295</f>
      </c>
      <c r="AB308" s="330">
        <f>AB295</f>
      </c>
      <c r="AC308" s="330">
        <f>AC295</f>
      </c>
      <c r="AD308" s="16"/>
      <c r="AE308" s="329">
        <f t="shared" ref="AE308:AG308" si="528">AE295</f>
        <v>0</v>
      </c>
      <c r="AF308" s="329">
        <f>AF295</f>
      </c>
      <c r="AG308" s="329">
        <f>AG295</f>
      </c>
      <c r="AH308" s="16"/>
      <c r="AI308" s="16"/>
      <c r="AJ308" s="16"/>
      <c r="AK308" s="16"/>
    </row>
    <row r="309" ht="13.5" customHeight="1" spans="1:37" x14ac:dyDescent="0.25">
      <c r="A309" s="264"/>
      <c r="B309" s="16"/>
      <c r="C309" s="139" t="s">
        <v>437</v>
      </c>
      <c r="D309" s="16"/>
      <c r="E309" s="16"/>
      <c r="F309" s="384">
        <f t="shared" ref="F309:W309" si="529">IF(F307&gt;F310,F310-F307,0)</f>
        <v>0</v>
      </c>
      <c r="G309" s="384">
        <f>IF(G307&gt;G310,G310-G307,0)</f>
        <v>-13</v>
      </c>
      <c r="H309" s="384">
        <f>IF(H307&gt;H310,H310-H307,0)</f>
        <v>-254</v>
      </c>
      <c r="I309" s="384">
        <f>IF(I307&gt;I310,I310-I307,0)</f>
        <v>-76</v>
      </c>
      <c r="J309" s="162">
        <f>IF(J307&gt;J310,J310-J307,0)</f>
      </c>
      <c r="K309" s="384">
        <f>IF(K307&gt;K310,K310-K307,0)</f>
      </c>
      <c r="L309" s="384">
        <f>IF(L307&gt;L310,L310-L307,0)</f>
        <v>-3</v>
      </c>
      <c r="M309" s="384">
        <f>IF(M307&gt;M310,M310-M307,0)</f>
        <v>-338</v>
      </c>
      <c r="N309" s="384">
        <f>IF(N307&gt;N310,N310-N307,0)</f>
      </c>
      <c r="O309" s="162">
        <f>IF(O307&gt;O310,O310-O307,0)</f>
      </c>
      <c r="P309" s="384">
        <f>IF(P307&gt;P310,P310-P307,0)</f>
      </c>
      <c r="Q309" s="384">
        <f>IF(Q307&gt;Q310,Q310-Q307,0)</f>
      </c>
      <c r="R309" s="384">
        <f>IF(R307&gt;R310,R310-R307,0)</f>
      </c>
      <c r="S309" s="384">
        <f>IF(S307&gt;S310,S310-S307,0)</f>
      </c>
      <c r="T309" s="162">
        <f>IF(T307&gt;T310,T310-T307,0)</f>
      </c>
      <c r="U309" s="384">
        <f>IF(U307&gt;U310,U310-U307,0)</f>
        <v>-2967</v>
      </c>
      <c r="V309" s="384">
        <f>IF(V307&gt;V310,V310-V307,0)</f>
      </c>
      <c r="W309" s="384">
        <f>IF(W307&gt;W310,W310-W307,0)</f>
      </c>
      <c r="X309" s="330">
        <f>X296</f>
        <v>-500</v>
      </c>
      <c r="Y309" s="16"/>
      <c r="Z309" s="330">
        <f t="shared" ref="Z309:AC309" si="530">Z296</f>
        <v>-500</v>
      </c>
      <c r="AA309" s="330">
        <f>AA296</f>
        <v>-500</v>
      </c>
      <c r="AB309" s="330">
        <f>AB296</f>
        <v>-500</v>
      </c>
      <c r="AC309" s="330">
        <f>AC296</f>
        <v>-500</v>
      </c>
      <c r="AD309" s="16"/>
      <c r="AE309" s="329">
        <f t="shared" ref="AE309:AG309" si="531">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32">F140</f>
        <v>15844</v>
      </c>
      <c r="G310" s="353">
        <f>G140</f>
        <v>15831</v>
      </c>
      <c r="H310" s="353">
        <f>H140</f>
        <v>15577</v>
      </c>
      <c r="I310" s="353">
        <f>I140</f>
        <v>15501</v>
      </c>
      <c r="J310" s="282">
        <f>J140</f>
        <v>15501</v>
      </c>
      <c r="K310" s="353">
        <f>K140</f>
        <v>17550</v>
      </c>
      <c r="L310" s="353">
        <f>L140</f>
        <v>17547</v>
      </c>
      <c r="M310" s="353">
        <f>M140</f>
        <v>17209</v>
      </c>
      <c r="N310" s="353">
        <f>N140</f>
        <v>17365</v>
      </c>
      <c r="O310" s="282">
        <f>O140</f>
        <v>17365</v>
      </c>
      <c r="P310" s="353">
        <f>P140</f>
        <v>20804</v>
      </c>
      <c r="Q310" s="353">
        <f>Q140</f>
        <v>20806</v>
      </c>
      <c r="R310" s="353">
        <f>R140</f>
        <v>21794</v>
      </c>
      <c r="S310" s="353">
        <f>S140</f>
        <v>26211</v>
      </c>
      <c r="T310" s="282">
        <f>T140</f>
        <v>26211</v>
      </c>
      <c r="U310" s="353">
        <f>U140</f>
        <v>23244</v>
      </c>
      <c r="V310" s="353">
        <f>V140</f>
        <v>23311</v>
      </c>
      <c r="W310" s="353">
        <f>W140</f>
        <v>25233</v>
      </c>
      <c r="X310" s="281">
        <f>SUM(X307:X309)</f>
        <v>24733</v>
      </c>
      <c r="Y310" s="16"/>
      <c r="Z310" s="281">
        <f t="shared" ref="Z310:AC310" si="533">SUM(Z307:Z309)</f>
        <v>24233</v>
      </c>
      <c r="AA310" s="281">
        <f>SUM(AA307:AA309)</f>
        <v>23733</v>
      </c>
      <c r="AB310" s="281">
        <f>SUM(AB307:AB309)</f>
        <v>23233</v>
      </c>
      <c r="AC310" s="281">
        <f>SUM(AC307:AC309)</f>
        <v>22733</v>
      </c>
      <c r="AD310" s="16"/>
      <c r="AE310" s="282">
        <f t="shared" ref="AE310:AG310" si="534">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35">5%/4</f>
        <v>0.0125</v>
      </c>
      <c r="AA314" s="466">
        <f>5%/4</f>
        <v>0.0125</v>
      </c>
      <c r="AB314" s="466">
        <f>5%/4</f>
        <v>0.0125</v>
      </c>
      <c r="AC314" s="466">
        <f>5%/4</f>
        <v>0.0125</v>
      </c>
      <c r="AD314" s="16"/>
      <c r="AE314" s="467">
        <f t="shared" ref="AE314:AG314" si="536">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c>
      <c r="Y315" s="16"/>
      <c r="Z315" s="281">
        <f>-(Z313*Z314)</f>
      </c>
      <c r="AA315" s="281">
        <f>-(AA313*AA314)</f>
      </c>
      <c r="AB315" s="281">
        <f>-(AB313*AB314)</f>
      </c>
      <c r="AC315" s="281">
        <f>-(AC313*AC314)</f>
      </c>
      <c r="AD315" s="16"/>
      <c r="AE315" s="282">
        <f>-(AE313*AE314)</f>
      </c>
      <c r="AF315" s="282">
        <f>-(AF313*AF314)</f>
      </c>
      <c r="AG315" s="282">
        <f>-(AG313*AG314)</f>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37">AVERAGE(Z310,Z307)</f>
        <v>24483</v>
      </c>
      <c r="AA318" s="281">
        <f>AVERAGE(AA310,AA307)</f>
        <v>23983</v>
      </c>
      <c r="AB318" s="281">
        <f>AVERAGE(AB310,AB307)</f>
        <v>23483</v>
      </c>
      <c r="AC318" s="281">
        <f>AVERAGE(AC310,AC307)</f>
        <v>22983</v>
      </c>
      <c r="AD318" s="16"/>
      <c r="AE318" s="282">
        <f t="shared" ref="AE318:AG318" si="538">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39">-(Z318*Z319)</f>
        <v>-213.614175</v>
      </c>
      <c r="AA320" s="281">
        <f>-(AA318*AA319)</f>
        <v>-209.251675</v>
      </c>
      <c r="AB320" s="281">
        <f>-(AB318*AB319)</f>
        <v>-204.889175</v>
      </c>
      <c r="AC320" s="281">
        <f>-(AC318*AC319)</f>
        <v>-200.526675</v>
      </c>
      <c r="AD320" s="16"/>
      <c r="AE320" s="282">
        <f t="shared" ref="AE320:AG320" si="540">-(AE318*AE319)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c>
      <c r="Y322" s="100"/>
      <c r="Z322" s="390">
        <f>SUM(Z315,Z320)</f>
      </c>
      <c r="AA322" s="390">
        <f>SUM(AA315,AA320)</f>
      </c>
      <c r="AB322" s="390">
        <f>SUM(AB315,AB320)</f>
      </c>
      <c r="AC322" s="390">
        <f>SUM(AC315,AC320)</f>
      </c>
      <c r="AD322" s="100"/>
      <c r="AE322" s="389">
        <f>SUM(AE315,AE320)</f>
      </c>
      <c r="AF322" s="389">
        <f>SUM(AF315,AF320)</f>
      </c>
      <c r="AG322" s="407">
        <f>SUM(AG315,AG320)</f>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0</v>
      </c>
      <c r="Y326" s="16"/>
      <c r="Z326" s="466">
        <f>X326</f>
        <v>0</v>
      </c>
      <c r="AA326" s="466">
        <f t="shared" ref="AA326:AC326" si="541">Z326</f>
        <v>0</v>
      </c>
      <c r="AB326" s="466">
        <f>AA326</f>
      </c>
      <c r="AC326" s="466">
        <f>AB326</f>
      </c>
      <c r="AD326" s="16"/>
      <c r="AE326" s="467">
        <f>AC326</f>
        <v>0</v>
      </c>
      <c r="AF326" s="467">
        <f t="shared" ref="AF326:AG326" si="542">AE326</f>
        <v>0</v>
      </c>
      <c r="AG326" s="467">
        <f>AF326</f>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c>
      <c r="Y327" s="16"/>
      <c r="Z327" s="281">
        <f>Z325*Z326</f>
      </c>
      <c r="AA327" s="281">
        <f>AA325*AA326</f>
      </c>
      <c r="AB327" s="281">
        <f>AB325*AB326</f>
      </c>
      <c r="AC327" s="281">
        <f>AC325*AC326</f>
      </c>
      <c r="AD327" s="16"/>
      <c r="AE327" s="282">
        <f>AE325*AE326</f>
      </c>
      <c r="AF327" s="282">
        <f>AF325*AF326</f>
      </c>
      <c r="AG327" s="282">
        <f>AG325*AG326</f>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c>
      <c r="Y329" s="100"/>
      <c r="Z329" s="390">
        <f>Z327</f>
      </c>
      <c r="AA329" s="390">
        <f>AA327</f>
      </c>
      <c r="AB329" s="390">
        <f>AB327</f>
      </c>
      <c r="AC329" s="390">
        <f>AC327</f>
      </c>
      <c r="AD329" s="100"/>
      <c r="AE329" s="389">
        <f>AE327</f>
      </c>
      <c r="AF329" s="389">
        <f>AF327</f>
      </c>
      <c r="AG329" s="407">
        <f>AG327</f>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17360</v>
      </c>
      <c r="G7" s="317">
        <f>SUM(G8:G13)</f>
        <v>20888</v>
      </c>
      <c r="H7" s="317">
        <f>SUM(H8:H13)</f>
        <v>17415</v>
      </c>
      <c r="I7" s="317">
        <f>SUM(I8:I13)</f>
        <v>15646</v>
      </c>
      <c r="J7" s="287">
        <f t="shared" ref="J7:J13" si="1">SUM(F7:I7)</f>
        <v>71309</v>
      </c>
      <c r="K7" s="317">
        <f t="shared" ref="K7:N7" si="2">SUM(K8:K13)</f>
        <v>17741</v>
      </c>
      <c r="L7" s="317">
        <f>SUM(L8:L13)</f>
        <v>20992</v>
      </c>
      <c r="M7" s="317">
        <f>SUM(M8:M13)</f>
        <v>17388</v>
      </c>
      <c r="N7" s="317">
        <f>SUM(N8:N13)</f>
        <v>16027</v>
      </c>
      <c r="O7" s="287">
        <f t="shared" ref="O7:O13" si="3">SUM(K7:N7)</f>
        <v>72148</v>
      </c>
      <c r="P7" s="317">
        <f t="shared" ref="P7:S7" si="4">SUM(P8:P13)</f>
        <v>19675</v>
      </c>
      <c r="Q7" s="317">
        <f>SUM(Q8:Q13)</f>
        <v>27302</v>
      </c>
      <c r="R7" s="317">
        <f>SUM(R8:R13)</f>
        <v>22309</v>
      </c>
      <c r="S7" s="317">
        <f>SUM(S8:S13)</f>
        <v>20311</v>
      </c>
      <c r="T7" s="287">
        <f t="shared" ref="T7:T13" si="5">SUM(P7:S7)</f>
        <v>89597</v>
      </c>
      <c r="U7" s="317">
        <f t="shared" ref="U7:X7" si="6">SUM(U8:U13)</f>
        <v>24422</v>
      </c>
      <c r="V7" s="317">
        <f>SUM(V8:V13)</f>
        <v>27570</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 t="shared" ref="C8:C13" si="11">C16&amp;" Revenue"</f>
        <v>Home Improvement Retail Revenue</v>
      </c>
      <c r="D8" s="16"/>
      <c r="E8" s="16"/>
      <c r="F8" s="469">
        <v>5021</v>
      </c>
      <c r="G8" s="469">
        <v>5082</v>
      </c>
      <c r="H8" s="469">
        <v>5066</v>
      </c>
      <c r="I8" s="469">
        <v>5395</v>
      </c>
      <c r="J8" s="470">
        <f>SUM(F8:I8)</f>
        <v>71309</v>
      </c>
      <c r="K8" s="469">
        <v>5368</v>
      </c>
      <c r="L8" s="469">
        <v>5108</v>
      </c>
      <c r="M8" s="469">
        <v>5126</v>
      </c>
      <c r="N8" s="469">
        <v>5073</v>
      </c>
      <c r="O8" s="470">
        <f>SUM(K8:N8)</f>
        <v>72148</v>
      </c>
      <c r="P8" s="469">
        <v>5223</v>
      </c>
      <c r="Q8" s="469">
        <v>5271</v>
      </c>
      <c r="R8" s="469">
        <v>5289</v>
      </c>
      <c r="S8" s="469">
        <v>5527</v>
      </c>
      <c r="T8" s="470">
        <f>SUM(P8:S8)</f>
        <v>89597</v>
      </c>
      <c r="U8" s="469">
        <v>5368</v>
      </c>
      <c r="V8" s="469">
        <v>0</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Segment 2 Revenue</v>
      </c>
      <c r="D9" s="16"/>
      <c r="E9" s="16"/>
      <c r="F9" s="469">
        <v>0</v>
      </c>
      <c r="G9" s="469">
        <v>0</v>
      </c>
      <c r="H9" s="469">
        <v>0</v>
      </c>
      <c r="I9" s="469">
        <v>0</v>
      </c>
      <c r="J9" s="470">
        <f>SUM(F9:I9)</f>
      </c>
      <c r="K9" s="469">
        <v>0</v>
      </c>
      <c r="L9" s="469">
        <v>0</v>
      </c>
      <c r="M9" s="469">
        <v>0</v>
      </c>
      <c r="N9" s="469">
        <v>0</v>
      </c>
      <c r="O9" s="470">
        <f>SUM(K9:N9)</f>
      </c>
      <c r="P9" s="469">
        <v>0</v>
      </c>
      <c r="Q9" s="469">
        <v>0</v>
      </c>
      <c r="R9" s="469">
        <v>0</v>
      </c>
      <c r="S9" s="469">
        <v>0</v>
      </c>
      <c r="T9" s="470">
        <f>SUM(P9:S9)</f>
      </c>
      <c r="U9" s="469">
        <v>0</v>
      </c>
      <c r="V9" s="469">
        <v>0</v>
      </c>
      <c r="W9" s="469">
        <v>0</v>
      </c>
      <c r="X9" s="471">
        <f>'Revenue Build'!X35</f>
        <v>0</v>
      </c>
      <c r="Y9" s="470">
        <f>SUM(U9:X9)</f>
      </c>
      <c r="Z9" s="471">
        <f>'Revenue Build'!Z35</f>
        <v>0</v>
      </c>
      <c r="AA9" s="471">
        <f>'Revenue Build'!AA35</f>
        <v>0</v>
      </c>
      <c r="AB9" s="471">
        <f>'Revenue Build'!AB35</f>
        <v>0</v>
      </c>
      <c r="AC9" s="471">
        <f>'Revenue Build'!AC35</f>
        <v>0</v>
      </c>
      <c r="AD9" s="470">
        <f>SUM(Z9:AC9)</f>
      </c>
      <c r="AE9" s="472">
        <f>'Revenue Build'!AE35</f>
        <v>0</v>
      </c>
      <c r="AF9" s="472">
        <f>'Revenue Build'!AF35</f>
        <v>0</v>
      </c>
      <c r="AG9" s="472">
        <f>'Revenue Build'!AG35</f>
        <v>0</v>
      </c>
    </row>
    <row r="10" ht="14.25" customHeight="1" hidden="1" spans="1:33" x14ac:dyDescent="0.25" outlineLevel="1">
      <c r="C10" s="139" t="str">
        <f>C18&amp;" Revenue"</f>
        <v>Segment 3 Revenue</v>
      </c>
      <c r="D10" s="16"/>
      <c r="E10" s="16"/>
      <c r="F10" s="469">
        <v>0</v>
      </c>
      <c r="G10" s="469">
        <v>0</v>
      </c>
      <c r="H10" s="469">
        <v>0</v>
      </c>
      <c r="I10" s="469">
        <v>0</v>
      </c>
      <c r="J10" s="470">
        <f>SUM(F10:I10)</f>
      </c>
      <c r="K10" s="469">
        <v>0</v>
      </c>
      <c r="L10" s="469">
        <v>0</v>
      </c>
      <c r="M10" s="469">
        <v>0</v>
      </c>
      <c r="N10" s="469">
        <v>0</v>
      </c>
      <c r="O10" s="470">
        <f>SUM(K10:N10)</f>
      </c>
      <c r="P10" s="469">
        <v>0</v>
      </c>
      <c r="Q10" s="469">
        <v>0</v>
      </c>
      <c r="R10" s="469">
        <v>0</v>
      </c>
      <c r="S10" s="469">
        <v>0</v>
      </c>
      <c r="T10" s="470">
        <f>SUM(P10:S10)</f>
      </c>
      <c r="U10" s="469">
        <v>0</v>
      </c>
      <c r="V10" s="469">
        <v>0</v>
      </c>
      <c r="W10" s="469">
        <v>0</v>
      </c>
      <c r="X10" s="471">
        <f>'Revenue Build'!X38</f>
        <v>0</v>
      </c>
      <c r="Y10" s="470">
        <f>SUM(U10:X10)</f>
      </c>
      <c r="Z10" s="471">
        <f>'Revenue Build'!Z38</f>
        <v>0</v>
      </c>
      <c r="AA10" s="471">
        <f>'Revenue Build'!AA38</f>
        <v>0</v>
      </c>
      <c r="AB10" s="471">
        <f>'Revenue Build'!AB38</f>
        <v>0</v>
      </c>
      <c r="AC10" s="471">
        <f>'Revenue Build'!AC38</f>
        <v>0</v>
      </c>
      <c r="AD10" s="470">
        <f>SUM(Z10:AC10)</f>
      </c>
      <c r="AE10" s="472">
        <f>'Revenue Build'!AE38</f>
        <v>0</v>
      </c>
      <c r="AF10" s="472">
        <f>'Revenue Build'!AF38</f>
        <v>0</v>
      </c>
      <c r="AG10" s="472">
        <f>'Revenue Build'!AG38</f>
        <v>0</v>
      </c>
    </row>
    <row r="11" ht="14.25" customHeight="1" hidden="1" spans="1:33" x14ac:dyDescent="0.25" outlineLevel="1">
      <c r="C11" s="139" t="str">
        <f>C19&amp;" Revenue"</f>
        <v>Segment 4 Revenue</v>
      </c>
      <c r="D11" s="16"/>
      <c r="E11" s="16"/>
      <c r="F11" s="469">
        <v>0</v>
      </c>
      <c r="G11" s="469">
        <v>0</v>
      </c>
      <c r="H11" s="469">
        <v>0</v>
      </c>
      <c r="I11" s="469">
        <v>0</v>
      </c>
      <c r="J11" s="470">
        <f>SUM(F11:I11)</f>
      </c>
      <c r="K11" s="469">
        <v>0</v>
      </c>
      <c r="L11" s="469">
        <v>0</v>
      </c>
      <c r="M11" s="469">
        <v>0</v>
      </c>
      <c r="N11" s="469">
        <v>0</v>
      </c>
      <c r="O11" s="470">
        <f>SUM(K11:N11)</f>
      </c>
      <c r="P11" s="469">
        <v>0</v>
      </c>
      <c r="Q11" s="469">
        <v>0</v>
      </c>
      <c r="R11" s="469">
        <v>0</v>
      </c>
      <c r="S11" s="469">
        <v>0</v>
      </c>
      <c r="T11" s="470">
        <f>SUM(P11:S11)</f>
      </c>
      <c r="U11" s="469">
        <v>0</v>
      </c>
      <c r="V11" s="469">
        <v>0</v>
      </c>
      <c r="W11" s="469">
        <v>0</v>
      </c>
      <c r="X11" s="471">
        <f>'Revenue Build'!X41</f>
        <v>0</v>
      </c>
      <c r="Y11" s="470">
        <f>SUM(U11:X11)</f>
      </c>
      <c r="Z11" s="471">
        <f>'Revenue Build'!Z41</f>
        <v>0</v>
      </c>
      <c r="AA11" s="471">
        <f>'Revenue Build'!AA41</f>
        <v>0</v>
      </c>
      <c r="AB11" s="471">
        <f>'Revenue Build'!AB41</f>
        <v>0</v>
      </c>
      <c r="AC11" s="471">
        <f>'Revenue Build'!AC41</f>
        <v>0</v>
      </c>
      <c r="AD11" s="470">
        <f>SUM(Z11:AC11)</f>
      </c>
      <c r="AE11" s="472">
        <f>'Revenue Build'!AE41</f>
        <v>0</v>
      </c>
      <c r="AF11" s="472">
        <f>'Revenue Build'!AF41</f>
        <v>0</v>
      </c>
      <c r="AG11" s="472">
        <f>'Revenue Build'!AG41</f>
        <v>0</v>
      </c>
    </row>
    <row r="12" ht="14.25" customHeight="1" hidden="1" spans="1:33" x14ac:dyDescent="0.25" outlineLevel="1">
      <c r="C12" s="139" t="str">
        <f>C20&amp;" Revenue"</f>
        <v>Segment 5 Revenue</v>
      </c>
      <c r="D12" s="16"/>
      <c r="E12" s="16"/>
      <c r="F12" s="469">
        <v>0</v>
      </c>
      <c r="G12" s="469">
        <v>0</v>
      </c>
      <c r="H12" s="469">
        <v>0</v>
      </c>
      <c r="I12" s="469">
        <v>0</v>
      </c>
      <c r="J12" s="470">
        <f>SUM(F12:I12)</f>
      </c>
      <c r="K12" s="469">
        <v>0</v>
      </c>
      <c r="L12" s="469">
        <v>0</v>
      </c>
      <c r="M12" s="469">
        <v>0</v>
      </c>
      <c r="N12" s="469">
        <v>0</v>
      </c>
      <c r="O12" s="470">
        <f>SUM(K12:N12)</f>
      </c>
      <c r="P12" s="469">
        <v>0</v>
      </c>
      <c r="Q12" s="469">
        <v>0</v>
      </c>
      <c r="R12" s="469">
        <v>0</v>
      </c>
      <c r="S12" s="469">
        <v>0</v>
      </c>
      <c r="T12" s="470">
        <f>SUM(P12:S12)</f>
      </c>
      <c r="U12" s="469">
        <v>0</v>
      </c>
      <c r="V12" s="469">
        <v>0</v>
      </c>
      <c r="W12" s="469">
        <v>0</v>
      </c>
      <c r="X12" s="471">
        <f>'Revenue Build'!X44</f>
        <v>0</v>
      </c>
      <c r="Y12" s="470">
        <f>SUM(U12:X12)</f>
      </c>
      <c r="Z12" s="471">
        <f>'Revenue Build'!Z44</f>
        <v>0</v>
      </c>
      <c r="AA12" s="471">
        <f>'Revenue Build'!AA44</f>
        <v>0</v>
      </c>
      <c r="AB12" s="471">
        <f>'Revenue Build'!AB44</f>
        <v>0</v>
      </c>
      <c r="AC12" s="471">
        <f>'Revenue Build'!AC44</f>
        <v>0</v>
      </c>
      <c r="AD12" s="470">
        <f>SUM(Z12:AC12)</f>
      </c>
      <c r="AE12" s="472">
        <f>'Revenue Build'!AE44</f>
        <v>0</v>
      </c>
      <c r="AF12" s="472">
        <f>'Revenue Build'!AF44</f>
        <v>0</v>
      </c>
      <c r="AG12" s="472">
        <f>'Revenue Build'!AG44</f>
        <v>0</v>
      </c>
    </row>
    <row r="13" ht="14.25" customHeight="1" hidden="1" spans="1:33" x14ac:dyDescent="0.25" outlineLevel="2" collapsed="1">
      <c r="C13" s="139" t="str">
        <f>C21&amp;" Revenue"</f>
        <v>Segment 6 Revenue</v>
      </c>
      <c r="D13" s="16"/>
      <c r="E13" s="16"/>
      <c r="F13" s="469">
        <v>0</v>
      </c>
      <c r="G13" s="469">
        <v>0</v>
      </c>
      <c r="H13" s="469">
        <v>0</v>
      </c>
      <c r="I13" s="469">
        <v>0</v>
      </c>
      <c r="J13" s="470">
        <f>SUM(F13:I13)</f>
      </c>
      <c r="K13" s="469">
        <v>0</v>
      </c>
      <c r="L13" s="469">
        <v>0</v>
      </c>
      <c r="M13" s="469">
        <v>0</v>
      </c>
      <c r="N13" s="469">
        <v>0</v>
      </c>
      <c r="O13" s="470">
        <f>SUM(K13:N13)</f>
      </c>
      <c r="P13" s="469">
        <v>0</v>
      </c>
      <c r="Q13" s="469">
        <v>0</v>
      </c>
      <c r="R13" s="469">
        <v>0</v>
      </c>
      <c r="S13" s="469">
        <v>0</v>
      </c>
      <c r="T13" s="470">
        <f>SUM(P13:S13)</f>
      </c>
      <c r="U13" s="469">
        <v>0</v>
      </c>
      <c r="V13" s="469">
        <v>0</v>
      </c>
      <c r="W13" s="469">
        <v>0</v>
      </c>
      <c r="X13" s="471">
        <f>'Revenue Build'!X47</f>
        <v>0</v>
      </c>
      <c r="Y13" s="470">
        <f>SUM(U13:X13)</f>
      </c>
      <c r="Z13" s="471">
        <f>'Revenue Build'!Z47</f>
        <v>0</v>
      </c>
      <c r="AA13" s="471">
        <f>'Revenue Build'!AA47</f>
        <v>0</v>
      </c>
      <c r="AB13" s="471">
        <f>'Revenue Build'!AB47</f>
        <v>0</v>
      </c>
      <c r="AC13" s="471">
        <f>'Revenue Build'!AC47</f>
        <v>0</v>
      </c>
      <c r="AD13" s="470">
        <f>SUM(Z13:AC13)</f>
      </c>
      <c r="AE13" s="472">
        <f>'Revenue Build'!AE47</f>
        <v>0</v>
      </c>
      <c r="AF13" s="472">
        <f>'Revenue Build'!AF47</f>
        <v>0</v>
      </c>
      <c r="AG13" s="472">
        <f>'Revenue Build'!AG47</f>
        <v>0</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2">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3">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4">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5">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6">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7">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8">SUM(F24:F26)</f>
        <v>0</v>
      </c>
      <c r="G23" s="317">
        <f>SUM(G24:G26)</f>
      </c>
      <c r="H23" s="317">
        <f>SUM(H24:H26)</f>
      </c>
      <c r="I23" s="317">
        <f>SUM(I24:I26)</f>
      </c>
      <c r="J23" s="287">
        <f t="shared" ref="J23:J26" si="19">SUM(F23:I23)</f>
        <v>0</v>
      </c>
      <c r="K23" s="317">
        <f t="shared" ref="K23:N23" si="20">SUM(K24:K26)</f>
        <v>0</v>
      </c>
      <c r="L23" s="317">
        <f>SUM(L24:L26)</f>
      </c>
      <c r="M23" s="317">
        <f>SUM(M24:M26)</f>
      </c>
      <c r="N23" s="317">
        <f>SUM(N24:N26)</f>
      </c>
      <c r="O23" s="287">
        <f t="shared" ref="O23:O26" si="21">SUM(K23:N23)</f>
        <v>0</v>
      </c>
      <c r="P23" s="317">
        <f t="shared" ref="P23:S23" si="22">SUM(P24:P26)</f>
        <v>0</v>
      </c>
      <c r="Q23" s="317">
        <f>SUM(Q24:Q26)</f>
      </c>
      <c r="R23" s="317">
        <f>SUM(R24:R26)</f>
      </c>
      <c r="S23" s="317">
        <f>SUM(S24:S26)</f>
      </c>
      <c r="T23" s="287">
        <f t="shared" ref="T23:T26" si="23">SUM(P23:S23)</f>
        <v>0</v>
      </c>
      <c r="U23" s="317">
        <f t="shared" ref="U23:X23" si="24">SUM(U24:U26)</f>
        <v>0</v>
      </c>
      <c r="V23" s="317">
        <f>SUM(V24:V26)</f>
      </c>
      <c r="W23" s="317">
        <f>SUM(W24:W26)</f>
      </c>
      <c r="X23" s="286">
        <f>SUM(X24:X26)</f>
      </c>
      <c r="Y23" s="287">
        <f t="shared" ref="Y23:Y26" si="25">SUM(U23:X23)</f>
        <v>0</v>
      </c>
      <c r="Z23" s="286">
        <f t="shared" ref="Z23:AC23" si="26">SUM(Z24:Z26)</f>
        <v>0</v>
      </c>
      <c r="AA23" s="286">
        <f>SUM(AA24:AA26)</f>
      </c>
      <c r="AB23" s="286">
        <f>SUM(AB24:AB26)</f>
      </c>
      <c r="AC23" s="286">
        <f>SUM(AC24:AC26)</f>
      </c>
      <c r="AD23" s="287">
        <f t="shared" ref="AD23:AD26" si="27">SUM(Z23:AC23)</f>
        <v>0</v>
      </c>
      <c r="AE23" s="287">
        <f t="shared" ref="AE23:AG23" si="28">SUM(AE24:AE26)</f>
        <v>0</v>
      </c>
      <c r="AF23" s="287">
        <f>SUM(AF24:AF26)</f>
      </c>
      <c r="AG23" s="287">
        <f>SUM(AG24:AG26)</f>
      </c>
    </row>
    <row r="24" ht="14.25" customHeight="1" hidden="1" spans="1:33" x14ac:dyDescent="0.25" outlineLevel="1">
      <c r="C24" s="139" t="str">
        <f t="shared" ref="C24:C26" si="29">C29&amp;" Revenue"</f>
        <v>Boeing Military Aircraft Revenue</v>
      </c>
      <c r="D24" s="16"/>
      <c r="E24" s="16"/>
      <c r="F24" s="469">
        <v>0</v>
      </c>
      <c r="G24" s="469">
        <v>0</v>
      </c>
      <c r="H24" s="469">
        <v>0</v>
      </c>
      <c r="I24" s="469">
        <v>0</v>
      </c>
      <c r="J24" s="470">
        <f>SUM(F24:I24)</f>
      </c>
      <c r="K24" s="469">
        <v>0</v>
      </c>
      <c r="L24" s="469">
        <v>0</v>
      </c>
      <c r="M24" s="469">
        <v>0</v>
      </c>
      <c r="N24" s="469">
        <v>0</v>
      </c>
      <c r="O24" s="470">
        <f>SUM(K24:N24)</f>
      </c>
      <c r="P24" s="469">
        <v>0</v>
      </c>
      <c r="Q24" s="469">
        <v>0</v>
      </c>
      <c r="R24" s="469">
        <v>0</v>
      </c>
      <c r="S24" s="469">
        <v>0</v>
      </c>
      <c r="T24" s="470">
        <f>SUM(P24:S24)</f>
      </c>
      <c r="U24" s="469">
        <v>0</v>
      </c>
      <c r="V24" s="469">
        <v>0</v>
      </c>
      <c r="W24" s="469">
        <v>0</v>
      </c>
      <c r="X24" s="477">
        <v>0</v>
      </c>
      <c r="Y24" s="470">
        <f>SUM(U24:X24)</f>
      </c>
      <c r="Z24" s="477">
        <v>0</v>
      </c>
      <c r="AA24" s="477">
        <v>0</v>
      </c>
      <c r="AB24" s="477">
        <v>0</v>
      </c>
      <c r="AC24" s="477">
        <v>0</v>
      </c>
      <c r="AD24" s="470">
        <f>SUM(Z24:AC24)</f>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c>
      <c r="K25" s="469">
        <v>0</v>
      </c>
      <c r="L25" s="469">
        <v>0</v>
      </c>
      <c r="M25" s="469">
        <v>0</v>
      </c>
      <c r="N25" s="469">
        <v>0</v>
      </c>
      <c r="O25" s="470">
        <f>SUM(K25:N25)</f>
      </c>
      <c r="P25" s="469">
        <v>0</v>
      </c>
      <c r="Q25" s="469">
        <v>0</v>
      </c>
      <c r="R25" s="469">
        <v>0</v>
      </c>
      <c r="S25" s="469">
        <v>0</v>
      </c>
      <c r="T25" s="470">
        <f>SUM(P25:S25)</f>
      </c>
      <c r="U25" s="469">
        <v>0</v>
      </c>
      <c r="V25" s="469">
        <v>0</v>
      </c>
      <c r="W25" s="469">
        <v>0</v>
      </c>
      <c r="X25" s="477">
        <v>0</v>
      </c>
      <c r="Y25" s="470">
        <f>SUM(U25:X25)</f>
      </c>
      <c r="Z25" s="477">
        <v>0</v>
      </c>
      <c r="AA25" s="477">
        <v>0</v>
      </c>
      <c r="AB25" s="477">
        <v>0</v>
      </c>
      <c r="AC25" s="477">
        <v>0</v>
      </c>
      <c r="AD25" s="470">
        <f>SUM(Z25:AC25)</f>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c>
      <c r="K26" s="469">
        <v>0</v>
      </c>
      <c r="L26" s="469">
        <v>0</v>
      </c>
      <c r="M26" s="469">
        <v>0</v>
      </c>
      <c r="N26" s="469">
        <v>0</v>
      </c>
      <c r="O26" s="470">
        <f>SUM(K26:N26)</f>
      </c>
      <c r="P26" s="469">
        <v>0</v>
      </c>
      <c r="Q26" s="469">
        <v>0</v>
      </c>
      <c r="R26" s="469">
        <v>0</v>
      </c>
      <c r="S26" s="469">
        <v>0</v>
      </c>
      <c r="T26" s="470">
        <f>SUM(P26:S26)</f>
      </c>
      <c r="U26" s="469">
        <v>0</v>
      </c>
      <c r="V26" s="469">
        <v>0</v>
      </c>
      <c r="W26" s="469">
        <v>0</v>
      </c>
      <c r="X26" s="477">
        <v>0</v>
      </c>
      <c r="Y26" s="470">
        <f>SUM(U26:X26)</f>
      </c>
      <c r="Z26" s="477">
        <v>0</v>
      </c>
      <c r="AA26" s="477">
        <v>0</v>
      </c>
      <c r="AB26" s="477">
        <v>0</v>
      </c>
      <c r="AC26" s="477">
        <v>0</v>
      </c>
      <c r="AD26" s="470">
        <f>SUM(Z26:AC26)</f>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30">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1">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2">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3">SUM(F34:F39)</f>
        <v>1465</v>
      </c>
      <c r="G33" s="317">
        <f>SUM(G34:G39)</f>
        <v>2163</v>
      </c>
      <c r="H33" s="317">
        <f>SUM(H34:H39)</f>
        <v>957</v>
      </c>
      <c r="I33" s="317">
        <f>SUM(I34:I39)</f>
        <v>-567</v>
      </c>
      <c r="J33" s="287">
        <f t="shared" ref="J33:J39" si="34">SUM(F33:I33)</f>
        <v>4018</v>
      </c>
      <c r="K33" s="317">
        <f t="shared" ref="K33:N33" si="35">SUM(K34:K39)</f>
        <v>1417</v>
      </c>
      <c r="L33" s="317">
        <f>SUM(L34:L39)</f>
        <v>2381</v>
      </c>
      <c r="M33" s="317">
        <f>SUM(M34:M39)</f>
        <v>1558</v>
      </c>
      <c r="N33" s="317">
        <f>SUM(N34:N39)</f>
        <v>958</v>
      </c>
      <c r="O33" s="287">
        <f t="shared" ref="O33:O39" si="36">SUM(K33:N33)</f>
        <v>6314</v>
      </c>
      <c r="P33" s="317">
        <f t="shared" ref="P33:Q33" si="37">SUM(P34:P39)</f>
        <v>1991</v>
      </c>
      <c r="Q33" s="317">
        <f>SUM(Q34:Q39)</f>
        <v>3957</v>
      </c>
      <c r="R33" s="317">
        <f>R34</f>
        <v>3233.3</v>
      </c>
      <c r="S33" s="317">
        <f>SUM(S34:S39)</f>
        <v>2769</v>
      </c>
      <c r="T33" s="287">
        <f t="shared" ref="T33:T39" si="38">SUM(P33:S33)</f>
        <v>11950.3</v>
      </c>
      <c r="U33" s="317">
        <f t="shared" ref="U33:V33" si="39">SUM(U34:U39)</f>
        <v>2564.31</v>
      </c>
      <c r="V33" s="317">
        <f>SUM(V34:V39)</f>
        <v>2977.56</v>
      </c>
      <c r="W33" s="317">
        <f>W34</f>
        <v>2789</v>
      </c>
      <c r="X33" s="286">
        <f>SUM(X34:X39)</f>
        <v>2830.373</v>
      </c>
      <c r="Y33" s="287">
        <f t="shared" ref="Y33:Y39" si="40">SUM(U33:X33)</f>
        <v>11161.242999999999</v>
      </c>
      <c r="Z33" s="286">
        <f t="shared" ref="Z33:AC33" si="41">SUM(Z34:Z39)</f>
        <v>3596.75092</v>
      </c>
      <c r="AA33" s="286">
        <f>SUM(AA34:AA39)</f>
        <v>4246.7351934</v>
      </c>
      <c r="AB33" s="286">
        <f>SUM(AB34:AB39)</f>
        <v>3092.794733952</v>
      </c>
      <c r="AC33" s="286">
        <f>SUM(AC34:AC39)</f>
        <v>3305.4243719112</v>
      </c>
      <c r="AD33" s="287">
        <f t="shared" ref="AD33:AD39" si="42">SUM(Z33:AC33)</f>
        <v>14241.7052192632</v>
      </c>
      <c r="AE33" s="287">
        <f t="shared" ref="AE33:AG33" si="43">SUM(AE34:AE39)</f>
        <v>14920.47653053796</v>
      </c>
      <c r="AF33" s="287">
        <f>SUM(AF34:AF39)</f>
        <v>15328.374450077847</v>
      </c>
      <c r="AG33" s="287">
        <f>SUM(AG34:AG39)</f>
        <v>15858.298252494822</v>
      </c>
    </row>
    <row r="34" ht="14.25" customHeight="1" spans="1:33" x14ac:dyDescent="0.25">
      <c r="C34" s="139" t="str">
        <f t="shared" ref="C34:C39" si="44">C16&amp;" Operating Income"</f>
        <v>Home Improvement Retail Operating Income</v>
      </c>
      <c r="D34" s="16"/>
      <c r="E34" s="16"/>
      <c r="F34" s="469">
        <v>603</v>
      </c>
      <c r="G34" s="469">
        <v>604</v>
      </c>
      <c r="H34" s="469">
        <v>568</v>
      </c>
      <c r="I34" s="469">
        <v>735</v>
      </c>
      <c r="J34" s="470">
        <f>SUM(F34:I34)</f>
        <v>4018</v>
      </c>
      <c r="K34" s="469">
        <v>3285</v>
      </c>
      <c r="L34" s="469">
        <v>761</v>
      </c>
      <c r="M34" s="469">
        <v>1089</v>
      </c>
      <c r="N34" s="469">
        <v>821</v>
      </c>
      <c r="O34" s="470">
        <f>SUM(K34:N34)</f>
        <v>6314</v>
      </c>
      <c r="P34" s="469">
        <v>943</v>
      </c>
      <c r="Q34" s="469">
        <v>823</v>
      </c>
      <c r="R34" s="469">
        <v>889</v>
      </c>
      <c r="S34" s="469">
        <v>853</v>
      </c>
      <c r="T34" s="470">
        <f>SUM(P34:S34)</f>
        <v>11950.3</v>
      </c>
      <c r="U34" s="469">
        <v>1296</v>
      </c>
      <c r="V34" s="469">
        <v>0</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Segment 2 Operating Income</v>
      </c>
      <c r="D35" s="16"/>
      <c r="E35" s="16"/>
      <c r="F35" s="469">
        <v>0</v>
      </c>
      <c r="G35" s="469">
        <v>0</v>
      </c>
      <c r="H35" s="469">
        <v>0</v>
      </c>
      <c r="I35" s="469">
        <v>0</v>
      </c>
      <c r="J35" s="470">
        <f>SUM(F35:I35)</f>
      </c>
      <c r="K35" s="469">
        <v>0</v>
      </c>
      <c r="L35" s="469">
        <v>0</v>
      </c>
      <c r="M35" s="469">
        <v>0</v>
      </c>
      <c r="N35" s="469">
        <v>0</v>
      </c>
      <c r="O35" s="470">
        <f>SUM(K35:N35)</f>
      </c>
      <c r="P35" s="469">
        <v>0</v>
      </c>
      <c r="Q35" s="469">
        <v>0</v>
      </c>
      <c r="R35" s="469">
        <v>0</v>
      </c>
      <c r="S35" s="469">
        <v>0</v>
      </c>
      <c r="T35" s="470">
        <f>SUM(P35:S35)</f>
      </c>
      <c r="U35" s="469">
        <v>0</v>
      </c>
      <c r="V35" s="469">
        <v>0</v>
      </c>
      <c r="W35" s="469">
        <v>0</v>
      </c>
      <c r="X35" s="480">
        <f>X9*Drivers!X$12</f>
        <v>0</v>
      </c>
      <c r="Y35" s="470">
        <f>SUM(U35:X35)</f>
      </c>
      <c r="Z35" s="480">
        <f>Z9*Drivers!Z$12</f>
        <v>0</v>
      </c>
      <c r="AA35" s="480">
        <f>AA9*Drivers!AA$12</f>
        <v>0</v>
      </c>
      <c r="AB35" s="480">
        <f>AB9*Drivers!AB$12</f>
        <v>0</v>
      </c>
      <c r="AC35" s="480">
        <f>AC9*Drivers!AC$12</f>
        <v>0</v>
      </c>
      <c r="AD35" s="470">
        <f>SUM(Z35:AC35)</f>
      </c>
      <c r="AE35" s="470">
        <f>AE9*Drivers!AE$12</f>
        <v>0</v>
      </c>
      <c r="AF35" s="470">
        <f>AF9*Drivers!AF$12</f>
        <v>0</v>
      </c>
      <c r="AG35" s="470">
        <f>AG9*Drivers!AG$12</f>
        <v>0</v>
      </c>
    </row>
    <row r="36" ht="14.25" customHeight="1" spans="1:33" x14ac:dyDescent="0.25">
      <c r="C36" s="139" t="str">
        <f>C18&amp;" Operating Income"</f>
        <v>Segment 3 Operating Income</v>
      </c>
      <c r="D36" s="16"/>
      <c r="E36" s="16"/>
      <c r="F36" s="469">
        <v>0</v>
      </c>
      <c r="G36" s="469">
        <v>0</v>
      </c>
      <c r="H36" s="469">
        <v>0</v>
      </c>
      <c r="I36" s="469">
        <v>0</v>
      </c>
      <c r="J36" s="470">
        <f>SUM(F36:I36)</f>
      </c>
      <c r="K36" s="469">
        <v>0</v>
      </c>
      <c r="L36" s="469">
        <v>0</v>
      </c>
      <c r="M36" s="469">
        <v>0</v>
      </c>
      <c r="N36" s="469">
        <v>0</v>
      </c>
      <c r="O36" s="470">
        <f>SUM(K36:N36)</f>
      </c>
      <c r="P36" s="469">
        <v>0</v>
      </c>
      <c r="Q36" s="469">
        <v>0</v>
      </c>
      <c r="R36" s="469">
        <v>0</v>
      </c>
      <c r="S36" s="469">
        <v>0</v>
      </c>
      <c r="T36" s="470">
        <f>SUM(P36:S36)</f>
      </c>
      <c r="U36" s="469">
        <v>0</v>
      </c>
      <c r="V36" s="469">
        <v>0</v>
      </c>
      <c r="W36" s="469">
        <v>0</v>
      </c>
      <c r="X36" s="480">
        <f>X10*Drivers!X17</f>
        <v>0</v>
      </c>
      <c r="Y36" s="470">
        <f>SUM(U36:X36)</f>
      </c>
      <c r="Z36" s="480">
        <f>Z10*Drivers!Z$17</f>
        <v>0</v>
      </c>
      <c r="AA36" s="480">
        <f>AA10*Drivers!AA$17</f>
        <v>0</v>
      </c>
      <c r="AB36" s="480">
        <f>AB10*Drivers!AB$17</f>
        <v>0</v>
      </c>
      <c r="AC36" s="480">
        <f>AC10*Drivers!AC$17</f>
        <v>0</v>
      </c>
      <c r="AD36" s="470">
        <f>SUM(Z36:AC36)</f>
      </c>
      <c r="AE36" s="470">
        <f>AE10*Drivers!AE$17</f>
        <v>0</v>
      </c>
      <c r="AF36" s="470">
        <f>AF10*Drivers!AF$17</f>
        <v>0</v>
      </c>
      <c r="AG36" s="470">
        <f>AG10*Drivers!AG$17</f>
        <v>0</v>
      </c>
    </row>
    <row r="37" ht="14.25" customHeight="1" spans="1:33" x14ac:dyDescent="0.25">
      <c r="C37" s="139" t="str">
        <f>C19&amp;" Operating Income"</f>
        <v>Segment 4 Operating Income</v>
      </c>
      <c r="D37" s="16"/>
      <c r="E37" s="16"/>
      <c r="F37" s="469">
        <v>0</v>
      </c>
      <c r="G37" s="469">
        <v>0</v>
      </c>
      <c r="H37" s="469">
        <v>0</v>
      </c>
      <c r="I37" s="469">
        <v>0</v>
      </c>
      <c r="J37" s="470">
        <f>SUM(F37:I37)</f>
      </c>
      <c r="K37" s="469">
        <v>0</v>
      </c>
      <c r="L37" s="469">
        <v>0</v>
      </c>
      <c r="M37" s="469">
        <v>0</v>
      </c>
      <c r="N37" s="469">
        <v>0</v>
      </c>
      <c r="O37" s="470">
        <f>SUM(K37:N37)</f>
      </c>
      <c r="P37" s="469">
        <v>0</v>
      </c>
      <c r="Q37" s="469">
        <v>0</v>
      </c>
      <c r="R37" s="469">
        <v>0</v>
      </c>
      <c r="S37" s="469">
        <v>0</v>
      </c>
      <c r="T37" s="470">
        <f>SUM(P37:S37)</f>
      </c>
      <c r="U37" s="469">
        <v>0</v>
      </c>
      <c r="V37" s="469">
        <v>0</v>
      </c>
      <c r="W37" s="469">
        <v>0</v>
      </c>
      <c r="X37" s="480">
        <f>X11*Drivers!X$22</f>
        <v>0</v>
      </c>
      <c r="Y37" s="470">
        <f>SUM(U37:X37)</f>
      </c>
      <c r="Z37" s="480">
        <f>Z11*Drivers!Z$22</f>
        <v>0</v>
      </c>
      <c r="AA37" s="480">
        <f>AA11*Drivers!AA$22</f>
        <v>0</v>
      </c>
      <c r="AB37" s="480">
        <f>AB11*Drivers!AB$22</f>
        <v>0</v>
      </c>
      <c r="AC37" s="480">
        <f>AC11*Drivers!AC$22</f>
        <v>0</v>
      </c>
      <c r="AD37" s="470">
        <f>SUM(Z37:AC37)</f>
      </c>
      <c r="AE37" s="470">
        <f>AE11*Drivers!AE$22</f>
        <v>0</v>
      </c>
      <c r="AF37" s="470">
        <f>AF11*Drivers!AF$22</f>
        <v>0</v>
      </c>
      <c r="AG37" s="470">
        <f>AG11*Drivers!AG$22</f>
        <v>0</v>
      </c>
    </row>
    <row r="38" ht="14.25" customHeight="1" spans="1:33" x14ac:dyDescent="0.25">
      <c r="C38" s="139" t="str">
        <f>C20&amp;" Operating Income"</f>
        <v>Segment 5 Operating Income</v>
      </c>
      <c r="D38" s="16"/>
      <c r="E38" s="16"/>
      <c r="F38" s="469">
        <v>0</v>
      </c>
      <c r="G38" s="469">
        <v>0</v>
      </c>
      <c r="H38" s="469">
        <v>0</v>
      </c>
      <c r="I38" s="469">
        <v>0</v>
      </c>
      <c r="J38" s="470">
        <f>SUM(F38:I38)</f>
      </c>
      <c r="K38" s="469">
        <v>0</v>
      </c>
      <c r="L38" s="469">
        <v>0</v>
      </c>
      <c r="M38" s="469">
        <v>0</v>
      </c>
      <c r="N38" s="469">
        <v>0</v>
      </c>
      <c r="O38" s="470">
        <f>SUM(K38:N38)</f>
      </c>
      <c r="P38" s="469">
        <v>0</v>
      </c>
      <c r="Q38" s="469">
        <v>0</v>
      </c>
      <c r="R38" s="469">
        <v>0</v>
      </c>
      <c r="S38" s="469">
        <v>0</v>
      </c>
      <c r="T38" s="470">
        <f>SUM(P38:S38)</f>
      </c>
      <c r="U38" s="469">
        <v>0</v>
      </c>
      <c r="V38" s="469">
        <v>0</v>
      </c>
      <c r="W38" s="469">
        <v>0</v>
      </c>
      <c r="X38" s="480">
        <f>X12*Drivers!X$27</f>
        <v>0</v>
      </c>
      <c r="Y38" s="470">
        <f>SUM(U38:X38)</f>
      </c>
      <c r="Z38" s="480">
        <f>Z12*Drivers!Z$27</f>
        <v>0</v>
      </c>
      <c r="AA38" s="480">
        <f>AA12*Drivers!AA$27</f>
        <v>0</v>
      </c>
      <c r="AB38" s="480">
        <f>AB12*Drivers!AB$27</f>
        <v>0</v>
      </c>
      <c r="AC38" s="480">
        <f>AC12*Drivers!AC$27</f>
        <v>0</v>
      </c>
      <c r="AD38" s="470">
        <f>SUM(Z38:AC38)</f>
      </c>
      <c r="AE38" s="470">
        <f>AE12*Drivers!AE$27</f>
        <v>0</v>
      </c>
      <c r="AF38" s="470">
        <f>AF12*Drivers!AF$27</f>
        <v>0</v>
      </c>
      <c r="AG38" s="470">
        <f>AG12*Drivers!AG$27</f>
        <v>0</v>
      </c>
    </row>
    <row r="39" ht="14.25" customHeight="1" spans="1:33" x14ac:dyDescent="0.25">
      <c r="C39" s="139" t="str">
        <f>C21&amp;" Operating Income"</f>
        <v>Segment 6 Operating Income</v>
      </c>
      <c r="D39" s="16"/>
      <c r="E39" s="16"/>
      <c r="F39" s="469">
        <v>0</v>
      </c>
      <c r="G39" s="469">
        <v>0</v>
      </c>
      <c r="H39" s="469">
        <v>0</v>
      </c>
      <c r="I39" s="469">
        <v>0</v>
      </c>
      <c r="J39" s="470">
        <f>SUM(F39:I39)</f>
      </c>
      <c r="K39" s="469">
        <v>0</v>
      </c>
      <c r="L39" s="469">
        <v>0</v>
      </c>
      <c r="M39" s="469">
        <v>0</v>
      </c>
      <c r="N39" s="469">
        <v>0</v>
      </c>
      <c r="O39" s="470">
        <f>SUM(K39:N39)</f>
      </c>
      <c r="P39" s="469">
        <v>0</v>
      </c>
      <c r="Q39" s="469">
        <v>0</v>
      </c>
      <c r="R39" s="469">
        <v>0</v>
      </c>
      <c r="S39" s="469">
        <v>0</v>
      </c>
      <c r="T39" s="470">
        <f>SUM(P39:S39)</f>
      </c>
      <c r="U39" s="469">
        <v>0</v>
      </c>
      <c r="V39" s="469">
        <v>0</v>
      </c>
      <c r="W39" s="469">
        <v>0</v>
      </c>
      <c r="X39" s="480">
        <f>X13*Drivers!X$32</f>
        <v>0</v>
      </c>
      <c r="Y39" s="470">
        <f>SUM(U39:X39)</f>
      </c>
      <c r="Z39" s="480">
        <f>Z13*Drivers!Z$32</f>
        <v>0</v>
      </c>
      <c r="AA39" s="480">
        <f>AA13*Drivers!AA$32</f>
        <v>0</v>
      </c>
      <c r="AB39" s="480">
        <f>AB13*Drivers!AB$32</f>
        <v>0</v>
      </c>
      <c r="AC39" s="480">
        <f>AC13*Drivers!AC$32</f>
        <v>0</v>
      </c>
      <c r="AD39" s="470">
        <f>SUM(Z39:AC39)</f>
      </c>
      <c r="AE39" s="470">
        <f>AE13*Drivers!AE$32</f>
        <v>0</v>
      </c>
      <c r="AF39" s="470">
        <f>AF13*Drivers!AF$32</f>
        <v>0</v>
      </c>
      <c r="AG39" s="470">
        <f>AG13*Drivers!AG$32</f>
        <v>0</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5">F33-SUM(F34:F39)</f>
        <v>0</v>
      </c>
      <c r="G41" s="483">
        <f>G33-SUM(G34:G39)</f>
      </c>
      <c r="H41" s="483">
        <f>H33-SUM(H34:H39)</f>
      </c>
      <c r="I41" s="483">
        <f>I33-SUM(I34:I39)</f>
      </c>
      <c r="J41" s="484">
        <f>J33-SUM(J34:J39)</f>
      </c>
      <c r="K41" s="483">
        <f>K33-SUM(K34:K39)</f>
      </c>
      <c r="L41" s="483">
        <f>L33-SUM(L34:L39)</f>
      </c>
      <c r="M41" s="483">
        <f>M33-SUM(M34:M39)</f>
      </c>
      <c r="N41" s="483">
        <f>N33-SUM(N34:N39)</f>
      </c>
      <c r="O41" s="484">
        <f>O33-SUM(O34:O39)</f>
      </c>
      <c r="P41" s="483">
        <f>P33-SUM(P34:P39)</f>
      </c>
      <c r="Q41" s="483">
        <f>Q33-SUM(Q34:Q39)</f>
      </c>
      <c r="R41" s="483">
        <f>R33-SUM(R34:R39)</f>
      </c>
      <c r="S41" s="483">
        <f>S33-SUM(S34:S39)</f>
      </c>
      <c r="T41" s="484">
        <f>T33-SUM(T34:T39)</f>
      </c>
      <c r="U41" s="483">
        <f>U33-SUM(U34:U39)</f>
      </c>
      <c r="V41" s="483">
        <f>V33-SUM(V34:V39)</f>
      </c>
      <c r="W41" s="483">
        <f>W33-SUM(W34:W39)</f>
      </c>
      <c r="X41" s="485">
        <f>X33-SUM(X34:X39)</f>
      </c>
      <c r="Y41" s="484">
        <f>Y33-SUM(Y34:Y39)</f>
      </c>
      <c r="Z41" s="485">
        <f>Z33-SUM(Z34:Z39)</f>
      </c>
      <c r="AA41" s="485">
        <f>AA33-SUM(AA34:AA39)</f>
      </c>
      <c r="AB41" s="485">
        <f>AB33-SUM(AB34:AB39)</f>
      </c>
      <c r="AC41" s="485">
        <f>AC33-SUM(AC34:AC39)</f>
      </c>
      <c r="AD41" s="484">
        <f>AD33-SUM(AD34:AD39)</f>
      </c>
      <c r="AE41" s="484">
        <f>AE33-SUM(AE34:AE39)</f>
      </c>
      <c r="AF41" s="484">
        <f>AF33-SUM(AF34:AF39)</f>
      </c>
      <c r="AG41" s="484">
        <f>AG33-SUM(AG34:AG39)</f>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6">C16</f>
        <v>Home Improvement Retail</v>
      </c>
      <c r="D44" s="16"/>
      <c r="E44" s="16"/>
      <c r="F44" s="377">
        <f t="shared" ref="F44:AG44" si="47">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8">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9">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50">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51">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2">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3">SUM(F52:F57)</f>
        <v>360</v>
      </c>
      <c r="G51" s="317">
        <f>SUM(G52:G57)</f>
        <v>345</v>
      </c>
      <c r="H51" s="317">
        <f>SUM(H52:H57)</f>
        <v>433</v>
      </c>
      <c r="I51" s="317">
        <f>SUM(I52:I57)</f>
        <v>339</v>
      </c>
      <c r="J51" s="287">
        <f>SUM(J52:J57)</f>
        <v>1477</v>
      </c>
      <c r="K51" s="317">
        <f>SUM(K52:K57)</f>
        <v>302</v>
      </c>
      <c r="L51" s="317">
        <f>SUM(L52:L57)</f>
        <v>311</v>
      </c>
      <c r="M51" s="317">
        <f>SUM(M52:M57)</f>
        <v>310</v>
      </c>
      <c r="N51" s="317">
        <f>SUM(N52:N57)</f>
        <v>339</v>
      </c>
      <c r="O51" s="287">
        <f>SUM(O52:O57)</f>
        <v>1262</v>
      </c>
      <c r="P51" s="317">
        <f>SUM(P52:P57)</f>
        <v>326</v>
      </c>
      <c r="Q51" s="317">
        <f>SUM(Q52:Q57)</f>
        <v>327</v>
      </c>
      <c r="R51" s="317">
        <f>SUM(R52:R57)</f>
        <v>355</v>
      </c>
      <c r="S51" s="317">
        <f>SUM(S52:S57)</f>
        <v>390</v>
      </c>
      <c r="T51" s="287">
        <f>SUM(T52:T57)</f>
        <v>1398</v>
      </c>
      <c r="U51" s="473">
        <f>SUM(U52:U57)</f>
        <v>391</v>
      </c>
      <c r="V51" s="473">
        <f>SUM(V52:V57)</f>
        <v>409</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4">C16&amp;" D&amp;A"</f>
        <v>Home Improvement Retail D&amp;A</v>
      </c>
      <c r="D52" s="16"/>
      <c r="E52" s="16"/>
      <c r="F52" s="469">
        <v>0</v>
      </c>
      <c r="G52" s="469">
        <v>0</v>
      </c>
      <c r="H52" s="469">
        <v>0</v>
      </c>
      <c r="I52" s="469">
        <v>0</v>
      </c>
      <c r="J52" s="487">
        <f t="shared" ref="J52:J57" si="55">SUM(F52:I52)</f>
        <v>1477</v>
      </c>
      <c r="K52" s="469">
        <v>0</v>
      </c>
      <c r="L52" s="469">
        <v>0</v>
      </c>
      <c r="M52" s="469">
        <v>0</v>
      </c>
      <c r="N52" s="469">
        <v>0</v>
      </c>
      <c r="O52" s="487">
        <f t="shared" ref="O52:O57" si="56">SUM(K52:N52)</f>
        <v>1262</v>
      </c>
      <c r="P52" s="469">
        <v>0</v>
      </c>
      <c r="Q52" s="469">
        <v>0</v>
      </c>
      <c r="R52" s="469">
        <v>0</v>
      </c>
      <c r="S52" s="469">
        <v>0</v>
      </c>
      <c r="T52" s="487">
        <f t="shared" ref="T52:T57" si="57">SUM(P52:S52)</f>
        <v>1398</v>
      </c>
      <c r="U52" s="469">
        <v>0</v>
      </c>
      <c r="V52" s="469">
        <v>0</v>
      </c>
      <c r="W52" s="469">
        <v>425</v>
      </c>
      <c r="X52" s="488">
        <f t="shared" ref="X52:X57" si="58">X62*X$51</f>
        <v>331.18750000000006</v>
      </c>
      <c r="Y52" s="470">
        <f t="shared" ref="Y52:Y57" si="59">SUM(U52:X52)</f>
        <v>1556.1875</v>
      </c>
      <c r="Z52" s="488">
        <f t="shared" ref="Z52:AC52" si="60">Z62*Z$51</f>
        <v>331.86891850000006</v>
      </c>
      <c r="AA52" s="488">
        <f>AA62*AA$51</f>
        <v>336.85146518625004</v>
      </c>
      <c r="AB52" s="488">
        <f>AB62*AB$51</f>
        <v>342.23237867969067</v>
      </c>
      <c r="AC52" s="488">
        <f>AC62*AC$51</f>
        <v>343.91086566405204</v>
      </c>
      <c r="AD52" s="470">
        <f t="shared" ref="AD52:AD57" si="61">SUM(Z52:AC52)</f>
        <v>1354.863628029993</v>
      </c>
      <c r="AE52" s="470">
        <f t="shared" ref="AE52:AG52" si="62">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c>
      <c r="K53" s="469">
        <v>0</v>
      </c>
      <c r="L53" s="469">
        <v>0</v>
      </c>
      <c r="M53" s="469">
        <v>0</v>
      </c>
      <c r="N53" s="469">
        <v>0</v>
      </c>
      <c r="O53" s="487">
        <f>SUM(K53:N53)</f>
      </c>
      <c r="P53" s="469">
        <v>0</v>
      </c>
      <c r="Q53" s="469">
        <v>0</v>
      </c>
      <c r="R53" s="469">
        <v>0</v>
      </c>
      <c r="S53" s="469">
        <v>0</v>
      </c>
      <c r="T53" s="487">
        <f>SUM(P53:S53)</f>
      </c>
      <c r="U53" s="469">
        <v>0</v>
      </c>
      <c r="V53" s="469">
        <v>0</v>
      </c>
      <c r="W53" s="469">
        <v>0</v>
      </c>
      <c r="X53" s="488">
        <f>X63*X$51</f>
      </c>
      <c r="Y53" s="470">
        <f>SUM(U53:X53)</f>
      </c>
      <c r="Z53" s="488">
        <f t="shared" ref="Z53:AC53" si="63">Z63*Z$51</f>
        <v>0</v>
      </c>
      <c r="AA53" s="488">
        <f>AA63*AA$51</f>
      </c>
      <c r="AB53" s="488">
        <f>AB63*AB$51</f>
      </c>
      <c r="AC53" s="488">
        <f>AC63*AC$51</f>
      </c>
      <c r="AD53" s="470">
        <f>SUM(Z53:AC53)</f>
      </c>
      <c r="AE53" s="470">
        <f t="shared" ref="AE53:AG53" si="64">AE63*AE$51</f>
        <v>0</v>
      </c>
      <c r="AF53" s="470">
        <f>AF63*AF$51</f>
      </c>
      <c r="AG53" s="470">
        <f>AG63*AG$51</f>
      </c>
    </row>
    <row r="54" ht="14.25" customHeight="1" spans="1:33" x14ac:dyDescent="0.25">
      <c r="C54" s="139" t="str">
        <f>C18&amp;" D&amp;A"</f>
        <v>Segment 3 D&amp;A</v>
      </c>
      <c r="D54" s="16"/>
      <c r="E54" s="16"/>
      <c r="F54" s="469">
        <v>0</v>
      </c>
      <c r="G54" s="469">
        <v>0</v>
      </c>
      <c r="H54" s="469">
        <v>0</v>
      </c>
      <c r="I54" s="469">
        <v>0</v>
      </c>
      <c r="J54" s="487">
        <f>SUM(F54:I54)</f>
      </c>
      <c r="K54" s="469">
        <v>0</v>
      </c>
      <c r="L54" s="469">
        <v>0</v>
      </c>
      <c r="M54" s="469">
        <v>0</v>
      </c>
      <c r="N54" s="469">
        <v>0</v>
      </c>
      <c r="O54" s="487">
        <f>SUM(K54:N54)</f>
      </c>
      <c r="P54" s="469">
        <v>0</v>
      </c>
      <c r="Q54" s="469">
        <v>0</v>
      </c>
      <c r="R54" s="469">
        <v>0</v>
      </c>
      <c r="S54" s="469">
        <v>0</v>
      </c>
      <c r="T54" s="487">
        <f>SUM(P54:S54)</f>
      </c>
      <c r="U54" s="469">
        <v>0</v>
      </c>
      <c r="V54" s="469">
        <v>0</v>
      </c>
      <c r="W54" s="469">
        <v>0</v>
      </c>
      <c r="X54" s="488">
        <f>X64*X$51</f>
      </c>
      <c r="Y54" s="470">
        <f>SUM(U54:X54)</f>
      </c>
      <c r="Z54" s="488">
        <f t="shared" ref="Z54:AC54" si="65">Z64*Z$51</f>
        <v>0</v>
      </c>
      <c r="AA54" s="488">
        <f>AA64*AA$51</f>
      </c>
      <c r="AB54" s="488">
        <f>AB64*AB$51</f>
      </c>
      <c r="AC54" s="488">
        <f>AC64*AC$51</f>
      </c>
      <c r="AD54" s="470">
        <f>SUM(Z54:AC54)</f>
      </c>
      <c r="AE54" s="470">
        <f t="shared" ref="AE54:AG54" si="66">AE64*AE$51</f>
        <v>0</v>
      </c>
      <c r="AF54" s="470">
        <f>AF64*AF$51</f>
      </c>
      <c r="AG54" s="470">
        <f>AG64*AG$51</f>
      </c>
    </row>
    <row r="55" ht="14.25" customHeight="1" spans="1:33" x14ac:dyDescent="0.25">
      <c r="C55" s="139" t="str">
        <f>C19&amp;" D&amp;A"</f>
        <v>Segment 4 D&amp;A</v>
      </c>
      <c r="D55" s="16"/>
      <c r="E55" s="16"/>
      <c r="F55" s="469">
        <v>0</v>
      </c>
      <c r="G55" s="469">
        <v>0</v>
      </c>
      <c r="H55" s="469">
        <v>0</v>
      </c>
      <c r="I55" s="469">
        <v>0</v>
      </c>
      <c r="J55" s="487">
        <f>SUM(F55:I55)</f>
      </c>
      <c r="K55" s="469">
        <v>0</v>
      </c>
      <c r="L55" s="469">
        <v>0</v>
      </c>
      <c r="M55" s="469">
        <v>0</v>
      </c>
      <c r="N55" s="469">
        <v>0</v>
      </c>
      <c r="O55" s="487">
        <f>SUM(K55:N55)</f>
      </c>
      <c r="P55" s="469">
        <v>0</v>
      </c>
      <c r="Q55" s="469">
        <v>0</v>
      </c>
      <c r="R55" s="469">
        <v>0</v>
      </c>
      <c r="S55" s="469">
        <v>0</v>
      </c>
      <c r="T55" s="487">
        <f>SUM(P55:S55)</f>
      </c>
      <c r="U55" s="469">
        <v>0</v>
      </c>
      <c r="V55" s="469">
        <v>0</v>
      </c>
      <c r="W55" s="469">
        <v>0</v>
      </c>
      <c r="X55" s="488">
        <f>X65*X$51</f>
      </c>
      <c r="Y55" s="470">
        <f>SUM(U55:X55)</f>
      </c>
      <c r="Z55" s="488">
        <f t="shared" ref="Z55:AC55" si="67">Z65*Z$51</f>
        <v>0</v>
      </c>
      <c r="AA55" s="488">
        <f>AA65*AA$51</f>
      </c>
      <c r="AB55" s="488">
        <f>AB65*AB$51</f>
      </c>
      <c r="AC55" s="488">
        <f>AC65*AC$51</f>
      </c>
      <c r="AD55" s="470">
        <f>SUM(Z55:AC55)</f>
      </c>
      <c r="AE55" s="470">
        <f t="shared" ref="AE55:AG55" si="68">AE65*AE$51</f>
        <v>0</v>
      </c>
      <c r="AF55" s="470">
        <f>AF65*AF$51</f>
      </c>
      <c r="AG55" s="470">
        <f>AG65*AG$51</f>
      </c>
    </row>
    <row r="56" ht="14.25" customHeight="1" spans="1:33" x14ac:dyDescent="0.25" outlineLevel="1">
      <c r="C56" s="139" t="str">
        <f>C20&amp;" D&amp;A"</f>
        <v>Segment 5 D&amp;A</v>
      </c>
      <c r="D56" s="16"/>
      <c r="E56" s="16"/>
      <c r="F56" s="469">
        <v>0</v>
      </c>
      <c r="G56" s="469">
        <v>0</v>
      </c>
      <c r="H56" s="469">
        <v>0</v>
      </c>
      <c r="I56" s="469">
        <v>0</v>
      </c>
      <c r="J56" s="487">
        <f>SUM(F56:I56)</f>
      </c>
      <c r="K56" s="469">
        <v>0</v>
      </c>
      <c r="L56" s="469">
        <v>0</v>
      </c>
      <c r="M56" s="469">
        <v>0</v>
      </c>
      <c r="N56" s="469">
        <v>0</v>
      </c>
      <c r="O56" s="487">
        <f>SUM(K56:N56)</f>
      </c>
      <c r="P56" s="469">
        <v>0</v>
      </c>
      <c r="Q56" s="469">
        <v>0</v>
      </c>
      <c r="R56" s="469">
        <v>0</v>
      </c>
      <c r="S56" s="469">
        <v>0</v>
      </c>
      <c r="T56" s="487">
        <f>SUM(P56:S56)</f>
      </c>
      <c r="U56" s="469">
        <v>0</v>
      </c>
      <c r="V56" s="469">
        <v>0</v>
      </c>
      <c r="W56" s="469">
        <v>0</v>
      </c>
      <c r="X56" s="488">
        <f>X66*X$51</f>
      </c>
      <c r="Y56" s="470">
        <f>SUM(U56:X56)</f>
      </c>
      <c r="Z56" s="488">
        <f t="shared" ref="Z56:AC56" si="69">Z66*Z$51</f>
        <v>0</v>
      </c>
      <c r="AA56" s="488">
        <f>AA66*AA$51</f>
      </c>
      <c r="AB56" s="488">
        <f>AB66*AB$51</f>
      </c>
      <c r="AC56" s="488">
        <f>AC66*AC$51</f>
      </c>
      <c r="AD56" s="470">
        <f>SUM(Z56:AC56)</f>
      </c>
      <c r="AE56" s="470">
        <f t="shared" ref="AE56:AG56" si="70">AE66*AE$51</f>
        <v>0</v>
      </c>
      <c r="AF56" s="470">
        <f>AF66*AF$51</f>
      </c>
      <c r="AG56" s="470">
        <f>AG66*AG$51</f>
      </c>
    </row>
    <row r="57" ht="14.25" customHeight="1" spans="1:33" x14ac:dyDescent="0.25" outlineLevel="1">
      <c r="C57" s="139" t="str">
        <f>C21&amp;" D&amp;A"</f>
        <v>Segment 6 D&amp;A</v>
      </c>
      <c r="D57" s="16"/>
      <c r="E57" s="16"/>
      <c r="F57" s="469">
        <v>0</v>
      </c>
      <c r="G57" s="469">
        <v>0</v>
      </c>
      <c r="H57" s="469">
        <v>0</v>
      </c>
      <c r="I57" s="469">
        <v>0</v>
      </c>
      <c r="J57" s="487">
        <f>SUM(F57:I57)</f>
      </c>
      <c r="K57" s="469">
        <v>0</v>
      </c>
      <c r="L57" s="469">
        <v>0</v>
      </c>
      <c r="M57" s="469">
        <v>0</v>
      </c>
      <c r="N57" s="469">
        <v>0</v>
      </c>
      <c r="O57" s="487">
        <f>SUM(K57:N57)</f>
      </c>
      <c r="P57" s="469">
        <v>0</v>
      </c>
      <c r="Q57" s="469">
        <v>0</v>
      </c>
      <c r="R57" s="469">
        <v>0</v>
      </c>
      <c r="S57" s="469">
        <v>0</v>
      </c>
      <c r="T57" s="487">
        <f>SUM(P57:S57)</f>
      </c>
      <c r="U57" s="469">
        <v>0</v>
      </c>
      <c r="V57" s="469">
        <v>0</v>
      </c>
      <c r="W57" s="469">
        <v>0</v>
      </c>
      <c r="X57" s="488">
        <f>X67*X$51</f>
      </c>
      <c r="Y57" s="470">
        <f>SUM(U57:X57)</f>
      </c>
      <c r="Z57" s="488">
        <f t="shared" ref="Z57:AC57" si="71">Z67*Z$51</f>
        <v>0</v>
      </c>
      <c r="AA57" s="488">
        <f>AA67*AA$51</f>
      </c>
      <c r="AB57" s="488">
        <f>AB67*AB$51</f>
      </c>
      <c r="AC57" s="488">
        <f>AC67*AC$51</f>
      </c>
      <c r="AD57" s="470">
        <f>SUM(Z57:AC57)</f>
      </c>
      <c r="AE57" s="470">
        <f t="shared" ref="AE57:AG57" si="72">AE67*AE$51</f>
        <v>0</v>
      </c>
      <c r="AF57" s="470">
        <f>AF67*AF$51</f>
      </c>
      <c r="AG57" s="470">
        <f>AG67*AG$51</f>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0</v>
      </c>
      <c r="G59" s="489">
        <f>G51-Model!G60</f>
        <v>0</v>
      </c>
      <c r="H59" s="489">
        <f>H51-Model!H60</f>
        <v>0</v>
      </c>
      <c r="I59" s="489">
        <f>I51-Model!I60</f>
        <v>0</v>
      </c>
      <c r="J59" s="484">
        <f>J51-Model!J60</f>
        <v>0</v>
      </c>
      <c r="K59" s="489">
        <f>K51-Model!K60</f>
        <v>0</v>
      </c>
      <c r="L59" s="489">
        <f>L51-Model!L60</f>
        <v>0</v>
      </c>
      <c r="M59" s="489">
        <f>M51-Model!M60</f>
        <v>0</v>
      </c>
      <c r="N59" s="489">
        <f>N51-Model!N60</f>
        <v>0</v>
      </c>
      <c r="O59" s="484">
        <f>O51-Model!O60</f>
        <v>0</v>
      </c>
      <c r="P59" s="489">
        <f>P51-Model!P60</f>
        <v>0</v>
      </c>
      <c r="Q59" s="489">
        <f>Q51-Model!Q60</f>
        <v>0</v>
      </c>
      <c r="R59" s="489">
        <f>R51-Model!R60</f>
        <v>0</v>
      </c>
      <c r="S59" s="489">
        <f>S51-Model!S60</f>
        <v>0</v>
      </c>
      <c r="T59" s="484">
        <f>T51-Model!T60</f>
        <v>0</v>
      </c>
      <c r="U59" s="489">
        <f>U51-Model!U60</f>
        <v>0</v>
      </c>
      <c r="V59" s="489">
        <f>V51-Model!V60</f>
        <v>0</v>
      </c>
      <c r="W59" s="489">
        <f>W51-Model!W60</f>
        <v>0</v>
      </c>
      <c r="X59" s="490">
        <f t="shared" ref="X59:AG59" si="73">X51-SUM(X52:X57)</f>
        <v>0</v>
      </c>
      <c r="Y59" s="484">
        <f>Y51-SUM(Y52:Y57)</f>
      </c>
      <c r="Z59" s="490">
        <f>Z51-SUM(Z52:Z57)</f>
      </c>
      <c r="AA59" s="490">
        <f>AA51-SUM(AA52:AA57)</f>
      </c>
      <c r="AB59" s="490">
        <f>AB51-SUM(AB52:AB57)</f>
      </c>
      <c r="AC59" s="490">
        <f>AC51-SUM(AC52:AC57)</f>
      </c>
      <c r="AD59" s="484">
        <f>AD51-SUM(AD52:AD57)</f>
      </c>
      <c r="AE59" s="484">
        <f>AE51-SUM(AE52:AE57)</f>
      </c>
      <c r="AF59" s="484">
        <f>AF51-SUM(AF52:AF57)</f>
      </c>
      <c r="AG59" s="484">
        <f>AG51-SUM(AG52:AG57)</f>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4">C16</f>
        <v>Home Improvement Retail</v>
      </c>
      <c r="D62" s="16"/>
      <c r="E62" s="16"/>
      <c r="F62" s="377">
        <f t="shared" ref="F62:W62" si="75">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6">Y52/Y$51</f>
        <v>1</v>
      </c>
      <c r="Z62" s="380">
        <f>Drivers!Z78</f>
        <v>1</v>
      </c>
      <c r="AA62" s="380">
        <f>Drivers!AA78</f>
        <v>1</v>
      </c>
      <c r="AB62" s="380">
        <f>Drivers!AB78</f>
        <v>1</v>
      </c>
      <c r="AC62" s="380">
        <f>Drivers!AC78</f>
        <v>1</v>
      </c>
      <c r="AD62" s="492">
        <f t="shared" ref="AD62:AD67" si="77">AD52/AD$51</f>
        <v>1</v>
      </c>
      <c r="AE62" s="381">
        <f>Drivers!AE78</f>
        <v>1</v>
      </c>
      <c r="AF62" s="381">
        <f>Drivers!AF78</f>
        <v>1</v>
      </c>
      <c r="AG62" s="381">
        <f>Drivers!AG78</f>
        <v>1</v>
      </c>
    </row>
    <row r="63" ht="14.25" customHeight="1" spans="1:33" x14ac:dyDescent="0.25">
      <c r="C63" s="491" t="str">
        <f>C17</f>
        <v>Segment 2</v>
      </c>
      <c r="D63" s="16"/>
      <c r="E63" s="16"/>
      <c r="F63" s="377">
        <f t="shared" ref="F63:W63" si="78">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0</v>
      </c>
      <c r="Y63" s="492">
        <f>Y53/Y$51</f>
      </c>
      <c r="Z63" s="380">
        <f>Drivers!Z79</f>
        <v>0</v>
      </c>
      <c r="AA63" s="380">
        <f>Drivers!AA79</f>
        <v>0</v>
      </c>
      <c r="AB63" s="380">
        <f>Drivers!AB79</f>
        <v>0</v>
      </c>
      <c r="AC63" s="380">
        <f>Drivers!AC79</f>
        <v>0</v>
      </c>
      <c r="AD63" s="492">
        <f>AD53/AD$51</f>
      </c>
      <c r="AE63" s="381">
        <f>Drivers!AE79</f>
        <v>0</v>
      </c>
      <c r="AF63" s="381">
        <f>Drivers!AF79</f>
        <v>0</v>
      </c>
      <c r="AG63" s="381">
        <f>Drivers!AG79</f>
        <v>0</v>
      </c>
    </row>
    <row r="64" ht="14.25" customHeight="1" spans="1:33" x14ac:dyDescent="0.25">
      <c r="C64" s="491" t="str">
        <f>C18</f>
        <v>Segment 3</v>
      </c>
      <c r="D64" s="16"/>
      <c r="E64" s="16"/>
      <c r="F64" s="377">
        <f t="shared" ref="F64:W64" si="79">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0</v>
      </c>
      <c r="Y64" s="492">
        <f>Y54/Y$51</f>
      </c>
      <c r="Z64" s="380">
        <f>Drivers!Z80</f>
        <v>0</v>
      </c>
      <c r="AA64" s="380">
        <f>Drivers!AA80</f>
        <v>0</v>
      </c>
      <c r="AB64" s="380">
        <f>Drivers!AB80</f>
        <v>0</v>
      </c>
      <c r="AC64" s="380">
        <f>Drivers!AC80</f>
        <v>0</v>
      </c>
      <c r="AD64" s="492">
        <f>AD54/AD$51</f>
      </c>
      <c r="AE64" s="381">
        <f>Drivers!AE80</f>
        <v>0</v>
      </c>
      <c r="AF64" s="381">
        <f>Drivers!AF80</f>
        <v>0</v>
      </c>
      <c r="AG64" s="381">
        <f>Drivers!AG80</f>
        <v>0</v>
      </c>
    </row>
    <row r="65" ht="14.25" customHeight="1" spans="1:33" x14ac:dyDescent="0.25">
      <c r="C65" s="491" t="str">
        <f>C19</f>
        <v>Segment 4</v>
      </c>
      <c r="D65" s="16"/>
      <c r="E65" s="16"/>
      <c r="F65" s="377">
        <f t="shared" ref="F65:W65" si="80">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0</v>
      </c>
      <c r="Y65" s="492">
        <f>Y55/Y$51</f>
      </c>
      <c r="Z65" s="380">
        <f>Drivers!Z81</f>
        <v>0</v>
      </c>
      <c r="AA65" s="380">
        <f>Drivers!AA81</f>
        <v>0</v>
      </c>
      <c r="AB65" s="380">
        <f>Drivers!AB81</f>
        <v>0</v>
      </c>
      <c r="AC65" s="380">
        <f>Drivers!AC81</f>
        <v>0</v>
      </c>
      <c r="AD65" s="492">
        <f>AD55/AD$51</f>
      </c>
      <c r="AE65" s="381">
        <f>Drivers!AE81</f>
        <v>0</v>
      </c>
      <c r="AF65" s="381">
        <f>Drivers!AF81</f>
        <v>0</v>
      </c>
      <c r="AG65" s="381">
        <f>Drivers!AG81</f>
        <v>0</v>
      </c>
    </row>
    <row r="66" ht="14.25" customHeight="1" spans="1:33" x14ac:dyDescent="0.25" outlineLevel="1">
      <c r="C66" s="491" t="str">
        <f>C20</f>
        <v>Segment 5</v>
      </c>
      <c r="D66" s="16"/>
      <c r="E66" s="16"/>
      <c r="F66" s="377">
        <f t="shared" ref="F66:W66" si="81">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0</v>
      </c>
      <c r="Y66" s="492">
        <f>Y56/Y$51</f>
      </c>
      <c r="Z66" s="380">
        <f>Drivers!Z82</f>
        <v>0</v>
      </c>
      <c r="AA66" s="380">
        <f>Drivers!AA82</f>
        <v>0</v>
      </c>
      <c r="AB66" s="380">
        <f>Drivers!AB82</f>
        <v>0</v>
      </c>
      <c r="AC66" s="380">
        <f>Drivers!AC82</f>
        <v>0</v>
      </c>
      <c r="AD66" s="492">
        <f>AD56/AD$51</f>
      </c>
      <c r="AE66" s="381">
        <f>Drivers!AE82</f>
        <v>0</v>
      </c>
      <c r="AF66" s="381">
        <f>Drivers!AF82</f>
        <v>0</v>
      </c>
      <c r="AG66" s="381">
        <f>Drivers!AG82</f>
        <v>0</v>
      </c>
    </row>
    <row r="67" ht="14.25" customHeight="1" spans="1:33" x14ac:dyDescent="0.25" outlineLevel="1">
      <c r="C67" s="491" t="str">
        <f>C21</f>
        <v>Segment 6</v>
      </c>
      <c r="D67" s="16"/>
      <c r="E67" s="16"/>
      <c r="F67" s="377">
        <f t="shared" ref="F67:W67" si="82">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0</v>
      </c>
      <c r="Y67" s="492">
        <f>Y57/Y$51</f>
      </c>
      <c r="Z67" s="380">
        <f>Drivers!Z83</f>
        <v>0</v>
      </c>
      <c r="AA67" s="380">
        <f>Drivers!AA83</f>
        <v>0</v>
      </c>
      <c r="AB67" s="380">
        <f>Drivers!AB83</f>
        <v>0</v>
      </c>
      <c r="AC67" s="380">
        <f>Drivers!AC83</f>
        <v>0</v>
      </c>
      <c r="AD67" s="492">
        <f>AD57/AD$51</f>
      </c>
      <c r="AE67" s="381">
        <f>Drivers!AE83</f>
        <v>0</v>
      </c>
      <c r="AF67" s="381">
        <f>Drivers!AF83</f>
        <v>0</v>
      </c>
      <c r="AG67" s="381">
        <f>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3">F51+F33</f>
        <v>1825</v>
      </c>
      <c r="G69" s="317">
        <f>G51+G33</f>
        <v>2508</v>
      </c>
      <c r="H69" s="317">
        <f>H51+H33</f>
        <v>1390</v>
      </c>
      <c r="I69" s="317">
        <f>I51+I33</f>
        <v>-228</v>
      </c>
      <c r="J69" s="287">
        <f>J51+J33</f>
        <v>5495</v>
      </c>
      <c r="K69" s="317">
        <f>K51+K33</f>
        <v>1719</v>
      </c>
      <c r="L69" s="317">
        <f>L51+L33</f>
        <v>2692</v>
      </c>
      <c r="M69" s="317">
        <f>M51+M33</f>
        <v>1868</v>
      </c>
      <c r="N69" s="317">
        <f>N51+N33</f>
        <v>1297</v>
      </c>
      <c r="O69" s="287">
        <f>O51+O33</f>
        <v>7576</v>
      </c>
      <c r="P69" s="317">
        <f>P51+P33</f>
        <v>2317</v>
      </c>
      <c r="Q69" s="317">
        <f>Q51+Q33</f>
        <v>4284</v>
      </c>
      <c r="R69" s="317">
        <f>R51+R33</f>
        <v>3588.3</v>
      </c>
      <c r="S69" s="317">
        <f>S51+S33</f>
        <v>3159</v>
      </c>
      <c r="T69" s="287">
        <f>T51+T33</f>
        <v>13348.3</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4">C16&amp;" EBITDA"</f>
        <v>Home Improvement Retail EBITDA</v>
      </c>
      <c r="D70" s="16"/>
      <c r="E70" s="16"/>
      <c r="F70" s="317">
        <f t="shared" ref="F70:AG70" si="85">F52+F34</f>
        <v>1825</v>
      </c>
      <c r="G70" s="317">
        <f>G52+G34</f>
        <v>2508</v>
      </c>
      <c r="H70" s="317">
        <f>H52+H34</f>
        <v>1390</v>
      </c>
      <c r="I70" s="317">
        <f>I52+I34</f>
        <v>-228</v>
      </c>
      <c r="J70" s="495">
        <f>J52+J34</f>
        <v>5495</v>
      </c>
      <c r="K70" s="317">
        <f>K52+K34</f>
        <v>1719</v>
      </c>
      <c r="L70" s="317">
        <f>L52+L34</f>
        <v>2692</v>
      </c>
      <c r="M70" s="317">
        <f>M52+M34</f>
        <v>1868</v>
      </c>
      <c r="N70" s="317">
        <f>N52+N34</f>
        <v>1297</v>
      </c>
      <c r="O70" s="495">
        <f>O52+O34</f>
        <v>7576</v>
      </c>
      <c r="P70" s="317">
        <f>P52+P34</f>
        <v>2317</v>
      </c>
      <c r="Q70" s="317">
        <f>Q52+Q34</f>
        <v>4284</v>
      </c>
      <c r="R70" s="317">
        <f>R52+R34</f>
        <v>3588.3</v>
      </c>
      <c r="S70" s="317">
        <f>S52+S34</f>
        <v>3159</v>
      </c>
      <c r="T70" s="495">
        <f>T52+T34</f>
        <v>13348.3</v>
      </c>
      <c r="U70" s="317">
        <f>U52+U34</f>
        <v>2955.31</v>
      </c>
      <c r="V70" s="317">
        <f>V52+V34</f>
        <v>3386.56</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6">F53+F35</f>
        <v>0</v>
      </c>
      <c r="G71" s="317">
        <f>G53+G35</f>
      </c>
      <c r="H71" s="317">
        <f>H53+H35</f>
      </c>
      <c r="I71" s="317">
        <f>I53+I35</f>
      </c>
      <c r="J71" s="495">
        <f>J53+J35</f>
      </c>
      <c r="K71" s="317">
        <f>K53+K35</f>
      </c>
      <c r="L71" s="317">
        <f>L53+L35</f>
      </c>
      <c r="M71" s="317">
        <f>M53+M35</f>
      </c>
      <c r="N71" s="317">
        <f>N53+N35</f>
      </c>
      <c r="O71" s="495">
        <f>O53+O35</f>
      </c>
      <c r="P71" s="317">
        <f>P53+P35</f>
      </c>
      <c r="Q71" s="317">
        <f>Q53+Q35</f>
      </c>
      <c r="R71" s="317">
        <f>R53+R35</f>
      </c>
      <c r="S71" s="317">
        <f>S53+S35</f>
      </c>
      <c r="T71" s="495">
        <f>T53+T35</f>
      </c>
      <c r="U71" s="317">
        <f>U53+U35</f>
      </c>
      <c r="V71" s="317">
        <f>V53+V35</f>
      </c>
      <c r="W71" s="317">
        <f>W53+W35</f>
      </c>
      <c r="X71" s="494">
        <f>X53+X35</f>
      </c>
      <c r="Y71" s="495">
        <f>Y53+Y35</f>
      </c>
      <c r="Z71" s="494">
        <f>Z53+Z35</f>
      </c>
      <c r="AA71" s="494">
        <f>AA53+AA35</f>
      </c>
      <c r="AB71" s="494">
        <f>AB53+AB35</f>
      </c>
      <c r="AC71" s="494">
        <f>AC53+AC35</f>
      </c>
      <c r="AD71" s="495">
        <f>AD53+AD35</f>
      </c>
      <c r="AE71" s="495">
        <f>AE53+AE35</f>
      </c>
      <c r="AF71" s="495">
        <f>AF53+AF35</f>
      </c>
      <c r="AG71" s="495">
        <f>AG53+AG35</f>
      </c>
    </row>
    <row r="72" ht="14.25" customHeight="1" spans="1:33" x14ac:dyDescent="0.25">
      <c r="C72" s="139" t="str">
        <f>C18&amp;" EBITDA"</f>
        <v>Segment 3 EBITDA</v>
      </c>
      <c r="D72" s="16"/>
      <c r="E72" s="16"/>
      <c r="F72" s="317">
        <f t="shared" ref="F72:AG72" si="87">F54+F36</f>
        <v>0</v>
      </c>
      <c r="G72" s="317">
        <f>G54+G36</f>
      </c>
      <c r="H72" s="317">
        <f>H54+H36</f>
      </c>
      <c r="I72" s="317">
        <f>I54+I36</f>
      </c>
      <c r="J72" s="495">
        <f>J54+J36</f>
      </c>
      <c r="K72" s="317">
        <f>K54+K36</f>
      </c>
      <c r="L72" s="317">
        <f>L54+L36</f>
      </c>
      <c r="M72" s="317">
        <f>M54+M36</f>
      </c>
      <c r="N72" s="317">
        <f>N54+N36</f>
      </c>
      <c r="O72" s="495">
        <f>O54+O36</f>
      </c>
      <c r="P72" s="317">
        <f>P54+P36</f>
      </c>
      <c r="Q72" s="317">
        <f>Q54+Q36</f>
      </c>
      <c r="R72" s="317">
        <f>R54+R36</f>
      </c>
      <c r="S72" s="317">
        <f>S54+S36</f>
      </c>
      <c r="T72" s="495">
        <f>T54+T36</f>
      </c>
      <c r="U72" s="317">
        <f>U54+U36</f>
      </c>
      <c r="V72" s="317">
        <f>V54+V36</f>
      </c>
      <c r="W72" s="317">
        <f>W54+W36</f>
      </c>
      <c r="X72" s="494">
        <f>X54+X36</f>
      </c>
      <c r="Y72" s="495">
        <f>Y54+Y36</f>
      </c>
      <c r="Z72" s="494">
        <f>Z54+Z36</f>
      </c>
      <c r="AA72" s="494">
        <f>AA54+AA36</f>
      </c>
      <c r="AB72" s="494">
        <f>AB54+AB36</f>
      </c>
      <c r="AC72" s="494">
        <f>AC54+AC36</f>
      </c>
      <c r="AD72" s="495">
        <f>AD54+AD36</f>
      </c>
      <c r="AE72" s="495">
        <f>AE54+AE36</f>
      </c>
      <c r="AF72" s="495">
        <f>AF54+AF36</f>
      </c>
      <c r="AG72" s="495">
        <f>AG54+AG36</f>
      </c>
    </row>
    <row r="73" ht="14.25" customHeight="1" spans="1:33" x14ac:dyDescent="0.25">
      <c r="C73" s="139" t="str">
        <f>C19&amp;" EBITDA"</f>
        <v>Segment 4 EBITDA</v>
      </c>
      <c r="D73" s="16"/>
      <c r="E73" s="16"/>
      <c r="F73" s="317">
        <f t="shared" ref="F73:AG73" si="88">F55+F37</f>
        <v>0</v>
      </c>
      <c r="G73" s="317">
        <f>G55+G37</f>
      </c>
      <c r="H73" s="317">
        <f>H55+H37</f>
      </c>
      <c r="I73" s="317">
        <f>I55+I37</f>
      </c>
      <c r="J73" s="495">
        <f>J55+J37</f>
      </c>
      <c r="K73" s="317">
        <f>K55+K37</f>
      </c>
      <c r="L73" s="317">
        <f>L55+L37</f>
      </c>
      <c r="M73" s="317">
        <f>M55+M37</f>
      </c>
      <c r="N73" s="317">
        <f>N55+N37</f>
      </c>
      <c r="O73" s="495">
        <f>O55+O37</f>
      </c>
      <c r="P73" s="317">
        <f>P55+P37</f>
      </c>
      <c r="Q73" s="317">
        <f>Q55+Q37</f>
      </c>
      <c r="R73" s="317">
        <f>R55+R37</f>
      </c>
      <c r="S73" s="317">
        <f>S55+S37</f>
      </c>
      <c r="T73" s="495">
        <f>T55+T37</f>
      </c>
      <c r="U73" s="317">
        <f>U55+U37</f>
      </c>
      <c r="V73" s="317">
        <f>V55+V37</f>
      </c>
      <c r="W73" s="317">
        <f>W55+W37</f>
      </c>
      <c r="X73" s="494">
        <f>X55+X37</f>
      </c>
      <c r="Y73" s="495">
        <f>Y55+Y37</f>
      </c>
      <c r="Z73" s="494">
        <f>Z55+Z37</f>
      </c>
      <c r="AA73" s="494">
        <f>AA55+AA37</f>
      </c>
      <c r="AB73" s="494">
        <f>AB55+AB37</f>
      </c>
      <c r="AC73" s="494">
        <f>AC55+AC37</f>
      </c>
      <c r="AD73" s="495">
        <f>AD55+AD37</f>
      </c>
      <c r="AE73" s="495">
        <f>AE55+AE37</f>
      </c>
      <c r="AF73" s="495">
        <f>AF55+AF37</f>
      </c>
      <c r="AG73" s="495">
        <f>AG55+AG37</f>
      </c>
    </row>
    <row r="74" ht="14.25" customHeight="1" spans="1:33" x14ac:dyDescent="0.25" outlineLevel="1">
      <c r="C74" s="139" t="str">
        <f>C20&amp;" EBITDA"</f>
        <v>Segment 5 EBITDA</v>
      </c>
      <c r="D74" s="16"/>
      <c r="E74" s="16"/>
      <c r="F74" s="317">
        <f t="shared" ref="F74:AG74" si="89">F56+F38</f>
        <v>0</v>
      </c>
      <c r="G74" s="317">
        <f>G56+G38</f>
      </c>
      <c r="H74" s="317">
        <f>H56+H38</f>
      </c>
      <c r="I74" s="317">
        <f>I56+I38</f>
      </c>
      <c r="J74" s="495">
        <f>J56+J38</f>
      </c>
      <c r="K74" s="317">
        <f>K56+K38</f>
      </c>
      <c r="L74" s="317">
        <f>L56+L38</f>
      </c>
      <c r="M74" s="317">
        <f>M56+M38</f>
      </c>
      <c r="N74" s="317">
        <f>N56+N38</f>
      </c>
      <c r="O74" s="495">
        <f>O56+O38</f>
      </c>
      <c r="P74" s="317">
        <f>P56+P38</f>
      </c>
      <c r="Q74" s="317">
        <f>Q56+Q38</f>
      </c>
      <c r="R74" s="317">
        <f>R56+R38</f>
      </c>
      <c r="S74" s="317">
        <f>S56+S38</f>
      </c>
      <c r="T74" s="495">
        <f>T56+T38</f>
      </c>
      <c r="U74" s="317">
        <f>U56+U38</f>
      </c>
      <c r="V74" s="317">
        <f>V56+V38</f>
      </c>
      <c r="W74" s="317">
        <f>W56+W38</f>
      </c>
      <c r="X74" s="494">
        <f>X56+X38</f>
      </c>
      <c r="Y74" s="495">
        <f>Y56+Y38</f>
      </c>
      <c r="Z74" s="494">
        <f>Z56+Z38</f>
      </c>
      <c r="AA74" s="494">
        <f>AA56+AA38</f>
      </c>
      <c r="AB74" s="494">
        <f>AB56+AB38</f>
      </c>
      <c r="AC74" s="494">
        <f>AC56+AC38</f>
      </c>
      <c r="AD74" s="495">
        <f>AD56+AD38</f>
      </c>
      <c r="AE74" s="495">
        <f>AE56+AE38</f>
      </c>
      <c r="AF74" s="495">
        <f>AF56+AF38</f>
      </c>
      <c r="AG74" s="495">
        <f>AG56+AG38</f>
      </c>
    </row>
    <row r="75" ht="14.25" customHeight="1" spans="1:33" x14ac:dyDescent="0.25" outlineLevel="1">
      <c r="C75" s="139" t="str">
        <f>C21&amp;" EBITDA"</f>
        <v>Segment 6 EBITDA</v>
      </c>
      <c r="D75" s="16"/>
      <c r="E75" s="16"/>
      <c r="F75" s="317">
        <f t="shared" ref="F75:AG75" si="90">F57+F39</f>
        <v>0</v>
      </c>
      <c r="G75" s="317">
        <f>G57+G39</f>
      </c>
      <c r="H75" s="317">
        <f>H57+H39</f>
      </c>
      <c r="I75" s="317">
        <f>I57+I39</f>
      </c>
      <c r="J75" s="495">
        <f>J57+J39</f>
      </c>
      <c r="K75" s="317">
        <f>K57+K39</f>
      </c>
      <c r="L75" s="317">
        <f>L57+L39</f>
      </c>
      <c r="M75" s="317">
        <f>M57+M39</f>
      </c>
      <c r="N75" s="317">
        <f>N57+N39</f>
      </c>
      <c r="O75" s="495">
        <f>O57+O39</f>
      </c>
      <c r="P75" s="317">
        <f>P57+P39</f>
      </c>
      <c r="Q75" s="317">
        <f>Q57+Q39</f>
      </c>
      <c r="R75" s="317">
        <f>R57+R39</f>
      </c>
      <c r="S75" s="317">
        <f>S57+S39</f>
      </c>
      <c r="T75" s="495">
        <f>T57+T39</f>
      </c>
      <c r="U75" s="317">
        <f>U57+U39</f>
      </c>
      <c r="V75" s="317">
        <f>V57+V39</f>
      </c>
      <c r="W75" s="317">
        <f>W57+W39</f>
      </c>
      <c r="X75" s="494">
        <f>X57+X39</f>
      </c>
      <c r="Y75" s="495">
        <f>Y57+Y39</f>
      </c>
      <c r="Z75" s="494">
        <f>Z57+Z39</f>
      </c>
      <c r="AA75" s="494">
        <f>AA57+AA39</f>
      </c>
      <c r="AB75" s="494">
        <f>AB57+AB39</f>
      </c>
      <c r="AC75" s="494">
        <f>AC57+AC39</f>
      </c>
      <c r="AD75" s="495">
        <f>AD57+AD39</f>
      </c>
      <c r="AE75" s="495">
        <f>AE57+AE39</f>
      </c>
      <c r="AF75" s="495">
        <f>AF57+AF39</f>
      </c>
      <c r="AG75" s="495">
        <f>AG57+AG39</f>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91">C16</f>
        <v>Home Improvement Retail</v>
      </c>
      <c r="D78" s="16"/>
      <c r="E78" s="16"/>
      <c r="F78" s="377">
        <f t="shared" ref="F78:AG78" si="92">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3">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4">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5">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6">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7">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8">SUM(F89:F93)</f>
        <v>0</v>
      </c>
      <c r="G88" s="498">
        <f>SUM(G89:G93)</f>
      </c>
      <c r="H88" s="498">
        <f>SUM(H89:H93)</f>
      </c>
      <c r="I88" s="498">
        <f>SUM(I89:I93)</f>
      </c>
      <c r="J88" s="287">
        <f t="shared" ref="J88:J93" si="99">SUM(F88:I88)</f>
        <v>0</v>
      </c>
      <c r="K88" s="498">
        <f t="shared" ref="K88:N88" si="100">SUM(K89:K93)</f>
        <v>0</v>
      </c>
      <c r="L88" s="498">
        <f>SUM(L89:L93)</f>
      </c>
      <c r="M88" s="498">
        <f>SUM(M89:M93)</f>
      </c>
      <c r="N88" s="498">
        <f>SUM(N89:N93)</f>
      </c>
      <c r="O88" s="287">
        <f t="shared" ref="O88:O93" si="101">SUM(K88:N88)</f>
        <v>0</v>
      </c>
      <c r="P88" s="498">
        <f t="shared" ref="P88:S88" si="102">SUM(P89:P93)</f>
        <v>0</v>
      </c>
      <c r="Q88" s="498">
        <f>SUM(Q89:Q93)</f>
      </c>
      <c r="R88" s="498">
        <f>SUM(R89:R93)</f>
      </c>
      <c r="S88" s="498">
        <f>SUM(S89:S93)</f>
      </c>
      <c r="T88" s="287">
        <f t="shared" ref="T88:T93" si="103">SUM(P88:S88)</f>
        <v>0</v>
      </c>
      <c r="U88" s="498">
        <f t="shared" ref="U88:X88" si="104">SUM(U89:U93)</f>
        <v>0</v>
      </c>
      <c r="V88" s="498">
        <f>SUM(V89:V93)</f>
      </c>
      <c r="W88" s="498">
        <f>SUM(W89:W93)</f>
      </c>
      <c r="X88" s="499">
        <f>SUM(X89:X93)</f>
      </c>
      <c r="Y88" s="287">
        <f t="shared" ref="Y88:Y93" si="105">SUM(U88:X88)</f>
        <v>0</v>
      </c>
      <c r="Z88" s="499">
        <f t="shared" ref="Z88:AC88" si="106">SUM(Z89:Z93)</f>
        <v>0</v>
      </c>
      <c r="AA88" s="499">
        <f>SUM(AA89:AA93)</f>
      </c>
      <c r="AB88" s="499">
        <f>SUM(AB89:AB93)</f>
      </c>
      <c r="AC88" s="499">
        <f>SUM(AC89:AC93)</f>
      </c>
      <c r="AD88" s="287">
        <f t="shared" ref="AD88:AD93" si="107">SUM(Z88:AC88)</f>
        <v>0</v>
      </c>
      <c r="AE88" s="500">
        <f t="shared" ref="AE88:AG88" si="108">SUM(AE89:AE93)</f>
        <v>0</v>
      </c>
      <c r="AF88" s="500">
        <f>SUM(AF89:AF93)</f>
      </c>
      <c r="AG88" s="500">
        <f>SUM(AG89:AG93)</f>
      </c>
    </row>
    <row r="89" ht="14.25" customHeight="1" hidden="1" spans="1:33" x14ac:dyDescent="0.25" outlineLevel="1">
      <c r="C89" s="476" t="s">
        <v>465</v>
      </c>
      <c r="D89" s="16"/>
      <c r="E89" s="16"/>
      <c r="F89" s="469">
        <v>0</v>
      </c>
      <c r="G89" s="469">
        <v>0</v>
      </c>
      <c r="H89" s="469">
        <v>0</v>
      </c>
      <c r="I89" s="469">
        <v>0</v>
      </c>
      <c r="J89" s="470">
        <f>SUM(F89:I89)</f>
      </c>
      <c r="K89" s="469">
        <v>0</v>
      </c>
      <c r="L89" s="469">
        <v>0</v>
      </c>
      <c r="M89" s="469">
        <v>0</v>
      </c>
      <c r="N89" s="469">
        <v>0</v>
      </c>
      <c r="O89" s="470">
        <f>SUM(K89:N89)</f>
      </c>
      <c r="P89" s="469">
        <v>0</v>
      </c>
      <c r="Q89" s="469">
        <v>0</v>
      </c>
      <c r="R89" s="469">
        <v>0</v>
      </c>
      <c r="S89" s="469">
        <v>0</v>
      </c>
      <c r="T89" s="470">
        <f>SUM(P89:S89)</f>
      </c>
      <c r="U89" s="469">
        <v>0</v>
      </c>
      <c r="V89" s="469">
        <v>0</v>
      </c>
      <c r="W89" s="469">
        <v>0</v>
      </c>
      <c r="X89" s="477">
        <v>0</v>
      </c>
      <c r="Y89" s="470">
        <f>SUM(U89:X89)</f>
      </c>
      <c r="Z89" s="477">
        <v>0</v>
      </c>
      <c r="AA89" s="477">
        <v>0</v>
      </c>
      <c r="AB89" s="477">
        <v>0</v>
      </c>
      <c r="AC89" s="477">
        <v>0</v>
      </c>
      <c r="AD89" s="470">
        <f>SUM(Z89:AC89)</f>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c>
      <c r="K90" s="469">
        <v>0</v>
      </c>
      <c r="L90" s="469">
        <v>0</v>
      </c>
      <c r="M90" s="469">
        <v>0</v>
      </c>
      <c r="N90" s="469">
        <v>0</v>
      </c>
      <c r="O90" s="470">
        <f>SUM(K90:N90)</f>
      </c>
      <c r="P90" s="469">
        <v>0</v>
      </c>
      <c r="Q90" s="469">
        <v>0</v>
      </c>
      <c r="R90" s="469">
        <v>0</v>
      </c>
      <c r="S90" s="469">
        <v>0</v>
      </c>
      <c r="T90" s="470">
        <f>SUM(P90:S90)</f>
      </c>
      <c r="U90" s="469">
        <v>0</v>
      </c>
      <c r="V90" s="469">
        <v>0</v>
      </c>
      <c r="W90" s="469">
        <v>0</v>
      </c>
      <c r="X90" s="477">
        <v>0</v>
      </c>
      <c r="Y90" s="470">
        <f>SUM(U90:X90)</f>
      </c>
      <c r="Z90" s="477">
        <v>0</v>
      </c>
      <c r="AA90" s="477">
        <v>0</v>
      </c>
      <c r="AB90" s="477">
        <v>0</v>
      </c>
      <c r="AC90" s="477">
        <v>0</v>
      </c>
      <c r="AD90" s="470">
        <f>SUM(Z90:AC90)</f>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c>
      <c r="K91" s="469">
        <v>0</v>
      </c>
      <c r="L91" s="469">
        <v>0</v>
      </c>
      <c r="M91" s="469">
        <v>0</v>
      </c>
      <c r="N91" s="469">
        <v>0</v>
      </c>
      <c r="O91" s="470">
        <f>SUM(K91:N91)</f>
      </c>
      <c r="P91" s="469">
        <v>0</v>
      </c>
      <c r="Q91" s="469">
        <v>0</v>
      </c>
      <c r="R91" s="469">
        <v>0</v>
      </c>
      <c r="S91" s="469">
        <v>0</v>
      </c>
      <c r="T91" s="470">
        <f>SUM(P91:S91)</f>
      </c>
      <c r="U91" s="469">
        <v>0</v>
      </c>
      <c r="V91" s="469">
        <v>0</v>
      </c>
      <c r="W91" s="469">
        <v>0</v>
      </c>
      <c r="X91" s="477">
        <v>0</v>
      </c>
      <c r="Y91" s="470">
        <f>SUM(U91:X91)</f>
      </c>
      <c r="Z91" s="477">
        <v>0</v>
      </c>
      <c r="AA91" s="477">
        <v>0</v>
      </c>
      <c r="AB91" s="477">
        <v>0</v>
      </c>
      <c r="AC91" s="477">
        <v>0</v>
      </c>
      <c r="AD91" s="470">
        <f>SUM(Z91:AC91)</f>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c>
      <c r="K92" s="469">
        <v>0</v>
      </c>
      <c r="L92" s="469">
        <v>0</v>
      </c>
      <c r="M92" s="469">
        <v>0</v>
      </c>
      <c r="N92" s="469">
        <v>0</v>
      </c>
      <c r="O92" s="470">
        <f>SUM(K92:N92)</f>
      </c>
      <c r="P92" s="469">
        <v>0</v>
      </c>
      <c r="Q92" s="469">
        <v>0</v>
      </c>
      <c r="R92" s="469">
        <v>0</v>
      </c>
      <c r="S92" s="469">
        <v>0</v>
      </c>
      <c r="T92" s="470">
        <f>SUM(P92:S92)</f>
      </c>
      <c r="U92" s="469">
        <v>0</v>
      </c>
      <c r="V92" s="469">
        <v>0</v>
      </c>
      <c r="W92" s="469">
        <v>0</v>
      </c>
      <c r="X92" s="477">
        <v>0</v>
      </c>
      <c r="Y92" s="470">
        <f>SUM(U92:X92)</f>
      </c>
      <c r="Z92" s="477">
        <v>0</v>
      </c>
      <c r="AA92" s="477">
        <v>0</v>
      </c>
      <c r="AB92" s="477">
        <v>0</v>
      </c>
      <c r="AC92" s="477">
        <v>0</v>
      </c>
      <c r="AD92" s="470">
        <f>SUM(Z92:AC92)</f>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c>
      <c r="K93" s="469">
        <v>0</v>
      </c>
      <c r="L93" s="469">
        <v>0</v>
      </c>
      <c r="M93" s="469">
        <v>0</v>
      </c>
      <c r="N93" s="469">
        <v>0</v>
      </c>
      <c r="O93" s="470">
        <f>SUM(K93:N93)</f>
      </c>
      <c r="P93" s="469">
        <v>0</v>
      </c>
      <c r="Q93" s="469">
        <v>0</v>
      </c>
      <c r="R93" s="469">
        <v>0</v>
      </c>
      <c r="S93" s="469">
        <v>0</v>
      </c>
      <c r="T93" s="470">
        <f>SUM(P93:S93)</f>
      </c>
      <c r="U93" s="469">
        <v>0</v>
      </c>
      <c r="V93" s="469">
        <v>0</v>
      </c>
      <c r="W93" s="469">
        <v>0</v>
      </c>
      <c r="X93" s="477">
        <v>0</v>
      </c>
      <c r="Y93" s="470">
        <f>SUM(U93:X93)</f>
      </c>
      <c r="Z93" s="477">
        <v>0</v>
      </c>
      <c r="AA93" s="477">
        <v>0</v>
      </c>
      <c r="AB93" s="477">
        <v>0</v>
      </c>
      <c r="AC93" s="477">
        <v>0</v>
      </c>
      <c r="AD93" s="470">
        <f>SUM(Z93:AC93)</f>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9">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10">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11">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2">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3">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4">SUM(F103:I103)</f>
        <v>0</v>
      </c>
      <c r="K103" s="469">
        <v>0</v>
      </c>
      <c r="L103" s="469">
        <v>0</v>
      </c>
      <c r="M103" s="469">
        <v>0</v>
      </c>
      <c r="N103" s="469">
        <v>0</v>
      </c>
      <c r="O103" s="470">
        <f t="shared" ref="O103:O107" si="115">SUM(K103:N103)</f>
        <v>0</v>
      </c>
      <c r="P103" s="469">
        <v>0</v>
      </c>
      <c r="Q103" s="469">
        <v>0</v>
      </c>
      <c r="R103" s="469">
        <v>0</v>
      </c>
      <c r="S103" s="469">
        <v>0</v>
      </c>
      <c r="T103" s="470">
        <f t="shared" ref="T103:T107" si="116">SUM(P103:S103)</f>
        <v>0</v>
      </c>
      <c r="U103" s="469">
        <v>0</v>
      </c>
      <c r="V103" s="469">
        <v>0</v>
      </c>
      <c r="W103" s="469">
        <v>0</v>
      </c>
      <c r="X103" s="477">
        <v>0</v>
      </c>
      <c r="Y103" s="470">
        <f t="shared" ref="Y103:Y107" si="117">SUM(U103:X103)</f>
        <v>0</v>
      </c>
      <c r="Z103" s="477">
        <v>0</v>
      </c>
      <c r="AA103" s="477">
        <v>0</v>
      </c>
      <c r="AB103" s="477">
        <v>0</v>
      </c>
      <c r="AC103" s="477">
        <v>0</v>
      </c>
      <c r="AD103" s="470">
        <f t="shared" ref="AD103:AD107" si="118">SUM(Z103:AC103)</f>
        <v>0</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c>
      <c r="K104" s="469">
        <v>0</v>
      </c>
      <c r="L104" s="469">
        <v>0</v>
      </c>
      <c r="M104" s="469">
        <v>0</v>
      </c>
      <c r="N104" s="469">
        <v>0</v>
      </c>
      <c r="O104" s="470">
        <f>SUM(K104:N104)</f>
      </c>
      <c r="P104" s="469">
        <v>0</v>
      </c>
      <c r="Q104" s="469">
        <v>0</v>
      </c>
      <c r="R104" s="469">
        <v>0</v>
      </c>
      <c r="S104" s="469">
        <v>0</v>
      </c>
      <c r="T104" s="470">
        <f>SUM(P104:S104)</f>
      </c>
      <c r="U104" s="469">
        <v>0</v>
      </c>
      <c r="V104" s="469">
        <v>0</v>
      </c>
      <c r="W104" s="469">
        <v>0</v>
      </c>
      <c r="X104" s="477">
        <v>0</v>
      </c>
      <c r="Y104" s="470">
        <f>SUM(U104:X104)</f>
      </c>
      <c r="Z104" s="477">
        <v>0</v>
      </c>
      <c r="AA104" s="477">
        <v>0</v>
      </c>
      <c r="AB104" s="477">
        <v>0</v>
      </c>
      <c r="AC104" s="477">
        <v>0</v>
      </c>
      <c r="AD104" s="470">
        <f>SUM(Z104:AC104)</f>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c>
      <c r="K105" s="469">
        <v>0</v>
      </c>
      <c r="L105" s="469">
        <v>0</v>
      </c>
      <c r="M105" s="469">
        <v>0</v>
      </c>
      <c r="N105" s="469">
        <v>0</v>
      </c>
      <c r="O105" s="470">
        <f>SUM(K105:N105)</f>
      </c>
      <c r="P105" s="469">
        <v>0</v>
      </c>
      <c r="Q105" s="469">
        <v>0</v>
      </c>
      <c r="R105" s="469">
        <v>0</v>
      </c>
      <c r="S105" s="469">
        <v>0</v>
      </c>
      <c r="T105" s="470">
        <f>SUM(P105:S105)</f>
      </c>
      <c r="U105" s="469">
        <v>0</v>
      </c>
      <c r="V105" s="469">
        <v>0</v>
      </c>
      <c r="W105" s="469">
        <v>0</v>
      </c>
      <c r="X105" s="477">
        <v>0</v>
      </c>
      <c r="Y105" s="470">
        <f>SUM(U105:X105)</f>
      </c>
      <c r="Z105" s="477">
        <v>0</v>
      </c>
      <c r="AA105" s="477">
        <v>0</v>
      </c>
      <c r="AB105" s="477">
        <v>0</v>
      </c>
      <c r="AC105" s="477">
        <v>0</v>
      </c>
      <c r="AD105" s="470">
        <f>SUM(Z105:AC105)</f>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c>
      <c r="K106" s="469">
        <v>0</v>
      </c>
      <c r="L106" s="469">
        <v>0</v>
      </c>
      <c r="M106" s="469">
        <v>0</v>
      </c>
      <c r="N106" s="469">
        <v>0</v>
      </c>
      <c r="O106" s="470">
        <f>SUM(K106:N106)</f>
      </c>
      <c r="P106" s="469">
        <v>0</v>
      </c>
      <c r="Q106" s="469">
        <v>0</v>
      </c>
      <c r="R106" s="469">
        <v>0</v>
      </c>
      <c r="S106" s="469">
        <v>0</v>
      </c>
      <c r="T106" s="470">
        <f>SUM(P106:S106)</f>
      </c>
      <c r="U106" s="469">
        <v>0</v>
      </c>
      <c r="V106" s="469">
        <v>0</v>
      </c>
      <c r="W106" s="469">
        <v>0</v>
      </c>
      <c r="X106" s="477">
        <v>0</v>
      </c>
      <c r="Y106" s="470">
        <f>SUM(U106:X106)</f>
      </c>
      <c r="Z106" s="477">
        <v>0</v>
      </c>
      <c r="AA106" s="477">
        <v>0</v>
      </c>
      <c r="AB106" s="477">
        <v>0</v>
      </c>
      <c r="AC106" s="477">
        <v>0</v>
      </c>
      <c r="AD106" s="470">
        <f>SUM(Z106:AC106)</f>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c>
      <c r="K107" s="469">
        <v>0</v>
      </c>
      <c r="L107" s="469">
        <v>0</v>
      </c>
      <c r="M107" s="469">
        <v>0</v>
      </c>
      <c r="N107" s="469">
        <v>0</v>
      </c>
      <c r="O107" s="470">
        <f>SUM(K107:N107)</f>
      </c>
      <c r="P107" s="469">
        <v>0</v>
      </c>
      <c r="Q107" s="469">
        <v>0</v>
      </c>
      <c r="R107" s="469">
        <v>0</v>
      </c>
      <c r="S107" s="469">
        <v>0</v>
      </c>
      <c r="T107" s="470">
        <f>SUM(P107:S107)</f>
      </c>
      <c r="U107" s="469">
        <v>0</v>
      </c>
      <c r="V107" s="469">
        <v>0</v>
      </c>
      <c r="W107" s="469">
        <v>0</v>
      </c>
      <c r="X107" s="477">
        <v>0</v>
      </c>
      <c r="Y107" s="470">
        <f>SUM(U107:X107)</f>
      </c>
      <c r="Z107" s="477">
        <v>0</v>
      </c>
      <c r="AA107" s="477">
        <v>0</v>
      </c>
      <c r="AB107" s="477">
        <v>0</v>
      </c>
      <c r="AC107" s="477">
        <v>0</v>
      </c>
      <c r="AD107" s="470">
        <f>SUM(Z107:AC107)</f>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9">SUM(F110:I110)</f>
        <v>0</v>
      </c>
      <c r="K110" s="469">
        <v>0</v>
      </c>
      <c r="L110" s="469">
        <v>0</v>
      </c>
      <c r="M110" s="469">
        <v>0</v>
      </c>
      <c r="N110" s="469">
        <v>0</v>
      </c>
      <c r="O110" s="470">
        <f t="shared" ref="O110:O114" si="120">SUM(K110:N110)</f>
        <v>0</v>
      </c>
      <c r="P110" s="469">
        <v>0</v>
      </c>
      <c r="Q110" s="469">
        <v>0</v>
      </c>
      <c r="R110" s="469">
        <v>0</v>
      </c>
      <c r="S110" s="469">
        <v>0</v>
      </c>
      <c r="T110" s="470">
        <f t="shared" ref="T110:T114" si="121">SUM(P110:S110)</f>
        <v>0</v>
      </c>
      <c r="U110" s="469">
        <v>0</v>
      </c>
      <c r="V110" s="469">
        <v>0</v>
      </c>
      <c r="W110" s="469">
        <v>0</v>
      </c>
      <c r="X110" s="477">
        <v>0</v>
      </c>
      <c r="Y110" s="470">
        <f t="shared" ref="Y110:Y114" si="122">SUM(U110:X110)</f>
        <v>0</v>
      </c>
      <c r="Z110" s="477">
        <v>0</v>
      </c>
      <c r="AA110" s="477">
        <v>0</v>
      </c>
      <c r="AB110" s="477">
        <v>0</v>
      </c>
      <c r="AC110" s="477">
        <v>0</v>
      </c>
      <c r="AD110" s="470">
        <f t="shared" ref="AD110:AD114" si="123">SUM(Z110:AC110)</f>
        <v>0</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c>
      <c r="K111" s="469">
        <v>0</v>
      </c>
      <c r="L111" s="469">
        <v>0</v>
      </c>
      <c r="M111" s="469">
        <v>0</v>
      </c>
      <c r="N111" s="469">
        <v>0</v>
      </c>
      <c r="O111" s="470">
        <f>SUM(K111:N111)</f>
      </c>
      <c r="P111" s="469">
        <v>0</v>
      </c>
      <c r="Q111" s="469">
        <v>0</v>
      </c>
      <c r="R111" s="469">
        <v>0</v>
      </c>
      <c r="S111" s="469">
        <v>0</v>
      </c>
      <c r="T111" s="470">
        <f>SUM(P111:S111)</f>
      </c>
      <c r="U111" s="469">
        <v>0</v>
      </c>
      <c r="V111" s="469">
        <v>0</v>
      </c>
      <c r="W111" s="469">
        <v>0</v>
      </c>
      <c r="X111" s="477">
        <v>0</v>
      </c>
      <c r="Y111" s="470">
        <f>SUM(U111:X111)</f>
      </c>
      <c r="Z111" s="477">
        <v>0</v>
      </c>
      <c r="AA111" s="477">
        <v>0</v>
      </c>
      <c r="AB111" s="477">
        <v>0</v>
      </c>
      <c r="AC111" s="477">
        <v>0</v>
      </c>
      <c r="AD111" s="470">
        <f>SUM(Z111:AC111)</f>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c>
      <c r="K112" s="469">
        <v>0</v>
      </c>
      <c r="L112" s="469">
        <v>0</v>
      </c>
      <c r="M112" s="469">
        <v>0</v>
      </c>
      <c r="N112" s="469">
        <v>0</v>
      </c>
      <c r="O112" s="470">
        <f>SUM(K112:N112)</f>
      </c>
      <c r="P112" s="469">
        <v>0</v>
      </c>
      <c r="Q112" s="469">
        <v>0</v>
      </c>
      <c r="R112" s="469">
        <v>0</v>
      </c>
      <c r="S112" s="469">
        <v>0</v>
      </c>
      <c r="T112" s="470">
        <f>SUM(P112:S112)</f>
      </c>
      <c r="U112" s="469">
        <v>0</v>
      </c>
      <c r="V112" s="469">
        <v>0</v>
      </c>
      <c r="W112" s="469">
        <v>0</v>
      </c>
      <c r="X112" s="477">
        <v>0</v>
      </c>
      <c r="Y112" s="470">
        <f>SUM(U112:X112)</f>
      </c>
      <c r="Z112" s="477">
        <v>0</v>
      </c>
      <c r="AA112" s="477">
        <v>0</v>
      </c>
      <c r="AB112" s="477">
        <v>0</v>
      </c>
      <c r="AC112" s="477">
        <v>0</v>
      </c>
      <c r="AD112" s="470">
        <f>SUM(Z112:AC112)</f>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c>
      <c r="K113" s="469">
        <v>0</v>
      </c>
      <c r="L113" s="469">
        <v>0</v>
      </c>
      <c r="M113" s="469">
        <v>0</v>
      </c>
      <c r="N113" s="469">
        <v>0</v>
      </c>
      <c r="O113" s="470">
        <f>SUM(K113:N113)</f>
      </c>
      <c r="P113" s="469">
        <v>0</v>
      </c>
      <c r="Q113" s="469">
        <v>0</v>
      </c>
      <c r="R113" s="469">
        <v>0</v>
      </c>
      <c r="S113" s="469">
        <v>0</v>
      </c>
      <c r="T113" s="470">
        <f>SUM(P113:S113)</f>
      </c>
      <c r="U113" s="469">
        <v>0</v>
      </c>
      <c r="V113" s="469">
        <v>0</v>
      </c>
      <c r="W113" s="469">
        <v>0</v>
      </c>
      <c r="X113" s="477">
        <v>0</v>
      </c>
      <c r="Y113" s="470">
        <f>SUM(U113:X113)</f>
      </c>
      <c r="Z113" s="477">
        <v>0</v>
      </c>
      <c r="AA113" s="477">
        <v>0</v>
      </c>
      <c r="AB113" s="477">
        <v>0</v>
      </c>
      <c r="AC113" s="477">
        <v>0</v>
      </c>
      <c r="AD113" s="470">
        <f>SUM(Z113:AC113)</f>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c>
      <c r="K114" s="469">
        <v>0</v>
      </c>
      <c r="L114" s="469">
        <v>0</v>
      </c>
      <c r="M114" s="469">
        <v>0</v>
      </c>
      <c r="N114" s="469">
        <v>0</v>
      </c>
      <c r="O114" s="470">
        <f>SUM(K114:N114)</f>
      </c>
      <c r="P114" s="469">
        <v>0</v>
      </c>
      <c r="Q114" s="469">
        <v>0</v>
      </c>
      <c r="R114" s="469">
        <v>0</v>
      </c>
      <c r="S114" s="469">
        <v>0</v>
      </c>
      <c r="T114" s="470">
        <f>SUM(P114:S114)</f>
      </c>
      <c r="U114" s="469">
        <v>0</v>
      </c>
      <c r="V114" s="469">
        <v>0</v>
      </c>
      <c r="W114" s="469">
        <v>0</v>
      </c>
      <c r="X114" s="477">
        <v>0</v>
      </c>
      <c r="Y114" s="470">
        <f>SUM(U114:X114)</f>
      </c>
      <c r="Z114" s="477">
        <v>0</v>
      </c>
      <c r="AA114" s="477">
        <v>0</v>
      </c>
      <c r="AB114" s="477">
        <v>0</v>
      </c>
      <c r="AC114" s="477">
        <v>0</v>
      </c>
      <c r="AD114" s="470">
        <f>SUM(Z114:AC114)</f>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4">SUM(F117:I117)</f>
        <v>0</v>
      </c>
      <c r="K117" s="469">
        <v>0</v>
      </c>
      <c r="L117" s="469">
        <v>0</v>
      </c>
      <c r="M117" s="469">
        <v>0</v>
      </c>
      <c r="N117" s="469">
        <v>0</v>
      </c>
      <c r="O117" s="470">
        <f t="shared" ref="O117:O121" si="125">SUM(K117:N117)</f>
        <v>0</v>
      </c>
      <c r="P117" s="469">
        <v>0</v>
      </c>
      <c r="Q117" s="469">
        <v>0</v>
      </c>
      <c r="R117" s="469">
        <v>0</v>
      </c>
      <c r="S117" s="469">
        <v>0</v>
      </c>
      <c r="T117" s="470">
        <f t="shared" ref="T117:T121" si="126">SUM(P117:S117)</f>
        <v>0</v>
      </c>
      <c r="U117" s="469">
        <v>0</v>
      </c>
      <c r="V117" s="469">
        <v>0</v>
      </c>
      <c r="W117" s="469">
        <v>0</v>
      </c>
      <c r="X117" s="477">
        <v>0</v>
      </c>
      <c r="Y117" s="470">
        <f t="shared" ref="Y117:Y121" si="127">SUM(U117:X117)</f>
        <v>0</v>
      </c>
      <c r="Z117" s="477">
        <v>0</v>
      </c>
      <c r="AA117" s="477">
        <v>0</v>
      </c>
      <c r="AB117" s="477">
        <v>0</v>
      </c>
      <c r="AC117" s="477">
        <v>0</v>
      </c>
      <c r="AD117" s="470">
        <f t="shared" ref="AD117:AD121" si="128">SUM(Z117:AC117)</f>
        <v>0</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c>
      <c r="K118" s="469">
        <v>0</v>
      </c>
      <c r="L118" s="469">
        <v>0</v>
      </c>
      <c r="M118" s="469">
        <v>0</v>
      </c>
      <c r="N118" s="469">
        <v>0</v>
      </c>
      <c r="O118" s="470">
        <f>SUM(K118:N118)</f>
      </c>
      <c r="P118" s="469">
        <v>0</v>
      </c>
      <c r="Q118" s="469">
        <v>0</v>
      </c>
      <c r="R118" s="469">
        <v>0</v>
      </c>
      <c r="S118" s="469">
        <v>0</v>
      </c>
      <c r="T118" s="470">
        <f>SUM(P118:S118)</f>
      </c>
      <c r="U118" s="469">
        <v>0</v>
      </c>
      <c r="V118" s="469">
        <v>0</v>
      </c>
      <c r="W118" s="469">
        <v>0</v>
      </c>
      <c r="X118" s="477">
        <v>0</v>
      </c>
      <c r="Y118" s="470">
        <f>SUM(U118:X118)</f>
      </c>
      <c r="Z118" s="477">
        <v>0</v>
      </c>
      <c r="AA118" s="477">
        <v>0</v>
      </c>
      <c r="AB118" s="477">
        <v>0</v>
      </c>
      <c r="AC118" s="477">
        <v>0</v>
      </c>
      <c r="AD118" s="470">
        <f>SUM(Z118:AC118)</f>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c>
      <c r="K119" s="469">
        <v>0</v>
      </c>
      <c r="L119" s="469">
        <v>0</v>
      </c>
      <c r="M119" s="469">
        <v>0</v>
      </c>
      <c r="N119" s="469">
        <v>0</v>
      </c>
      <c r="O119" s="470">
        <f>SUM(K119:N119)</f>
      </c>
      <c r="P119" s="469">
        <v>0</v>
      </c>
      <c r="Q119" s="469">
        <v>0</v>
      </c>
      <c r="R119" s="469">
        <v>0</v>
      </c>
      <c r="S119" s="469">
        <v>0</v>
      </c>
      <c r="T119" s="470">
        <f>SUM(P119:S119)</f>
      </c>
      <c r="U119" s="469">
        <v>0</v>
      </c>
      <c r="V119" s="469">
        <v>0</v>
      </c>
      <c r="W119" s="469">
        <v>0</v>
      </c>
      <c r="X119" s="477">
        <v>0</v>
      </c>
      <c r="Y119" s="470">
        <f>SUM(U119:X119)</f>
      </c>
      <c r="Z119" s="477">
        <v>0</v>
      </c>
      <c r="AA119" s="477">
        <v>0</v>
      </c>
      <c r="AB119" s="477">
        <v>0</v>
      </c>
      <c r="AC119" s="477">
        <v>0</v>
      </c>
      <c r="AD119" s="470">
        <f>SUM(Z119:AC119)</f>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c>
      <c r="K120" s="469">
        <v>0</v>
      </c>
      <c r="L120" s="469">
        <v>0</v>
      </c>
      <c r="M120" s="469">
        <v>0</v>
      </c>
      <c r="N120" s="469">
        <v>0</v>
      </c>
      <c r="O120" s="470">
        <f>SUM(K120:N120)</f>
      </c>
      <c r="P120" s="469">
        <v>0</v>
      </c>
      <c r="Q120" s="469">
        <v>0</v>
      </c>
      <c r="R120" s="469">
        <v>0</v>
      </c>
      <c r="S120" s="469">
        <v>0</v>
      </c>
      <c r="T120" s="470">
        <f>SUM(P120:S120)</f>
      </c>
      <c r="U120" s="469">
        <v>0</v>
      </c>
      <c r="V120" s="469">
        <v>0</v>
      </c>
      <c r="W120" s="469">
        <v>0</v>
      </c>
      <c r="X120" s="477">
        <v>0</v>
      </c>
      <c r="Y120" s="470">
        <f>SUM(U120:X120)</f>
      </c>
      <c r="Z120" s="477">
        <v>0</v>
      </c>
      <c r="AA120" s="477">
        <v>0</v>
      </c>
      <c r="AB120" s="477">
        <v>0</v>
      </c>
      <c r="AC120" s="477">
        <v>0</v>
      </c>
      <c r="AD120" s="470">
        <f>SUM(Z120:AC120)</f>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c>
      <c r="K121" s="469">
        <v>0</v>
      </c>
      <c r="L121" s="469">
        <v>0</v>
      </c>
      <c r="M121" s="469">
        <v>0</v>
      </c>
      <c r="N121" s="469">
        <v>0</v>
      </c>
      <c r="O121" s="470">
        <f>SUM(K121:N121)</f>
      </c>
      <c r="P121" s="469">
        <v>0</v>
      </c>
      <c r="Q121" s="469">
        <v>0</v>
      </c>
      <c r="R121" s="469">
        <v>0</v>
      </c>
      <c r="S121" s="469">
        <v>0</v>
      </c>
      <c r="T121" s="470">
        <f>SUM(P121:S121)</f>
      </c>
      <c r="U121" s="469">
        <v>0</v>
      </c>
      <c r="V121" s="469">
        <v>0</v>
      </c>
      <c r="W121" s="469">
        <v>0</v>
      </c>
      <c r="X121" s="477">
        <v>0</v>
      </c>
      <c r="Y121" s="470">
        <f>SUM(U121:X121)</f>
      </c>
      <c r="Z121" s="477">
        <v>0</v>
      </c>
      <c r="AA121" s="477">
        <v>0</v>
      </c>
      <c r="AB121" s="477">
        <v>0</v>
      </c>
      <c r="AC121" s="477">
        <v>0</v>
      </c>
      <c r="AD121" s="470">
        <f>SUM(Z121:AC121)</f>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9">SUM(F124:I124)</f>
        <v>0</v>
      </c>
      <c r="K124" s="469">
        <v>0</v>
      </c>
      <c r="L124" s="469">
        <v>0</v>
      </c>
      <c r="M124" s="469">
        <v>0</v>
      </c>
      <c r="N124" s="469">
        <v>0</v>
      </c>
      <c r="O124" s="470">
        <f t="shared" ref="O124:O128" si="130">SUM(K124:N124)</f>
        <v>0</v>
      </c>
      <c r="P124" s="469">
        <v>0</v>
      </c>
      <c r="Q124" s="469">
        <v>0</v>
      </c>
      <c r="R124" s="469">
        <v>0</v>
      </c>
      <c r="S124" s="469">
        <v>0</v>
      </c>
      <c r="T124" s="470">
        <f t="shared" ref="T124:T128" si="131">SUM(P124:S124)</f>
        <v>0</v>
      </c>
      <c r="U124" s="469">
        <v>0</v>
      </c>
      <c r="V124" s="469">
        <v>0</v>
      </c>
      <c r="W124" s="469">
        <v>0</v>
      </c>
      <c r="X124" s="477">
        <v>0</v>
      </c>
      <c r="Y124" s="470">
        <f t="shared" ref="Y124:Y128" si="132">SUM(U124:X124)</f>
        <v>0</v>
      </c>
      <c r="Z124" s="477">
        <v>0</v>
      </c>
      <c r="AA124" s="477">
        <v>0</v>
      </c>
      <c r="AB124" s="477">
        <v>0</v>
      </c>
      <c r="AC124" s="477">
        <v>0</v>
      </c>
      <c r="AD124" s="470">
        <f t="shared" ref="AD124:AD128" si="133">SUM(Z124:AC124)</f>
        <v>0</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c>
      <c r="K125" s="469">
        <v>0</v>
      </c>
      <c r="L125" s="469">
        <v>0</v>
      </c>
      <c r="M125" s="469">
        <v>0</v>
      </c>
      <c r="N125" s="469">
        <v>0</v>
      </c>
      <c r="O125" s="470">
        <f>SUM(K125:N125)</f>
      </c>
      <c r="P125" s="469">
        <v>0</v>
      </c>
      <c r="Q125" s="469">
        <v>0</v>
      </c>
      <c r="R125" s="469">
        <v>0</v>
      </c>
      <c r="S125" s="469">
        <v>0</v>
      </c>
      <c r="T125" s="470">
        <f>SUM(P125:S125)</f>
      </c>
      <c r="U125" s="469">
        <v>0</v>
      </c>
      <c r="V125" s="469">
        <v>0</v>
      </c>
      <c r="W125" s="469">
        <v>0</v>
      </c>
      <c r="X125" s="477">
        <v>0</v>
      </c>
      <c r="Y125" s="470">
        <f>SUM(U125:X125)</f>
      </c>
      <c r="Z125" s="477">
        <v>0</v>
      </c>
      <c r="AA125" s="477">
        <v>0</v>
      </c>
      <c r="AB125" s="477">
        <v>0</v>
      </c>
      <c r="AC125" s="477">
        <v>0</v>
      </c>
      <c r="AD125" s="470">
        <f>SUM(Z125:AC125)</f>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c>
      <c r="K126" s="469">
        <v>0</v>
      </c>
      <c r="L126" s="469">
        <v>0</v>
      </c>
      <c r="M126" s="469">
        <v>0</v>
      </c>
      <c r="N126" s="469">
        <v>0</v>
      </c>
      <c r="O126" s="470">
        <f>SUM(K126:N126)</f>
      </c>
      <c r="P126" s="469">
        <v>0</v>
      </c>
      <c r="Q126" s="469">
        <v>0</v>
      </c>
      <c r="R126" s="469">
        <v>0</v>
      </c>
      <c r="S126" s="469">
        <v>0</v>
      </c>
      <c r="T126" s="470">
        <f>SUM(P126:S126)</f>
      </c>
      <c r="U126" s="469">
        <v>0</v>
      </c>
      <c r="V126" s="469">
        <v>0</v>
      </c>
      <c r="W126" s="469">
        <v>0</v>
      </c>
      <c r="X126" s="477">
        <v>0</v>
      </c>
      <c r="Y126" s="470">
        <f>SUM(U126:X126)</f>
      </c>
      <c r="Z126" s="477">
        <v>0</v>
      </c>
      <c r="AA126" s="477">
        <v>0</v>
      </c>
      <c r="AB126" s="477">
        <v>0</v>
      </c>
      <c r="AC126" s="477">
        <v>0</v>
      </c>
      <c r="AD126" s="470">
        <f>SUM(Z126:AC126)</f>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c>
      <c r="K127" s="469">
        <v>0</v>
      </c>
      <c r="L127" s="469">
        <v>0</v>
      </c>
      <c r="M127" s="469">
        <v>0</v>
      </c>
      <c r="N127" s="469">
        <v>0</v>
      </c>
      <c r="O127" s="470">
        <f>SUM(K127:N127)</f>
      </c>
      <c r="P127" s="469">
        <v>0</v>
      </c>
      <c r="Q127" s="469">
        <v>0</v>
      </c>
      <c r="R127" s="469">
        <v>0</v>
      </c>
      <c r="S127" s="469">
        <v>0</v>
      </c>
      <c r="T127" s="470">
        <f>SUM(P127:S127)</f>
      </c>
      <c r="U127" s="469">
        <v>0</v>
      </c>
      <c r="V127" s="469">
        <v>0</v>
      </c>
      <c r="W127" s="469">
        <v>0</v>
      </c>
      <c r="X127" s="477">
        <v>0</v>
      </c>
      <c r="Y127" s="470">
        <f>SUM(U127:X127)</f>
      </c>
      <c r="Z127" s="477">
        <v>0</v>
      </c>
      <c r="AA127" s="477">
        <v>0</v>
      </c>
      <c r="AB127" s="477">
        <v>0</v>
      </c>
      <c r="AC127" s="477">
        <v>0</v>
      </c>
      <c r="AD127" s="470">
        <f>SUM(Z127:AC127)</f>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c>
      <c r="K128" s="469">
        <v>0</v>
      </c>
      <c r="L128" s="469">
        <v>0</v>
      </c>
      <c r="M128" s="469">
        <v>0</v>
      </c>
      <c r="N128" s="469">
        <v>0</v>
      </c>
      <c r="O128" s="470">
        <f>SUM(K128:N128)</f>
      </c>
      <c r="P128" s="469">
        <v>0</v>
      </c>
      <c r="Q128" s="469">
        <v>0</v>
      </c>
      <c r="R128" s="469">
        <v>0</v>
      </c>
      <c r="S128" s="469">
        <v>0</v>
      </c>
      <c r="T128" s="470">
        <f>SUM(P128:S128)</f>
      </c>
      <c r="U128" s="469">
        <v>0</v>
      </c>
      <c r="V128" s="469">
        <v>0</v>
      </c>
      <c r="W128" s="469">
        <v>0</v>
      </c>
      <c r="X128" s="477">
        <v>0</v>
      </c>
      <c r="Y128" s="470">
        <f>SUM(U128:X128)</f>
      </c>
      <c r="Z128" s="477">
        <v>0</v>
      </c>
      <c r="AA128" s="477">
        <v>0</v>
      </c>
      <c r="AB128" s="477">
        <v>0</v>
      </c>
      <c r="AC128" s="477">
        <v>0</v>
      </c>
      <c r="AD128" s="470">
        <f>SUM(Z128:AC128)</f>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4">SUM(F131:I131)</f>
        <v>0</v>
      </c>
      <c r="K131" s="469">
        <v>0</v>
      </c>
      <c r="L131" s="469">
        <v>0</v>
      </c>
      <c r="M131" s="469">
        <v>0</v>
      </c>
      <c r="N131" s="469">
        <v>0</v>
      </c>
      <c r="O131" s="470">
        <f t="shared" ref="O131:O135" si="135">SUM(K131:N131)</f>
        <v>0</v>
      </c>
      <c r="P131" s="469">
        <v>0</v>
      </c>
      <c r="Q131" s="469">
        <v>0</v>
      </c>
      <c r="R131" s="469">
        <v>0</v>
      </c>
      <c r="S131" s="469">
        <v>0</v>
      </c>
      <c r="T131" s="470">
        <f t="shared" ref="T131:T135" si="136">SUM(P131:S131)</f>
        <v>0</v>
      </c>
      <c r="U131" s="469">
        <v>0</v>
      </c>
      <c r="V131" s="469">
        <v>0</v>
      </c>
      <c r="W131" s="469">
        <v>0</v>
      </c>
      <c r="X131" s="477">
        <v>0</v>
      </c>
      <c r="Y131" s="470">
        <f t="shared" ref="Y131:Y135" si="137">SUM(U131:X131)</f>
        <v>0</v>
      </c>
      <c r="Z131" s="477">
        <v>0</v>
      </c>
      <c r="AA131" s="477">
        <v>0</v>
      </c>
      <c r="AB131" s="477">
        <v>0</v>
      </c>
      <c r="AC131" s="477">
        <v>0</v>
      </c>
      <c r="AD131" s="470">
        <f t="shared" ref="AD131:AD135" si="138">SUM(Z131:AC131)</f>
        <v>0</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c>
      <c r="K132" s="469">
        <v>0</v>
      </c>
      <c r="L132" s="469">
        <v>0</v>
      </c>
      <c r="M132" s="469">
        <v>0</v>
      </c>
      <c r="N132" s="469">
        <v>0</v>
      </c>
      <c r="O132" s="470">
        <f>SUM(K132:N132)</f>
      </c>
      <c r="P132" s="469">
        <v>0</v>
      </c>
      <c r="Q132" s="469">
        <v>0</v>
      </c>
      <c r="R132" s="469">
        <v>0</v>
      </c>
      <c r="S132" s="469">
        <v>0</v>
      </c>
      <c r="T132" s="470">
        <f>SUM(P132:S132)</f>
      </c>
      <c r="U132" s="469">
        <v>0</v>
      </c>
      <c r="V132" s="469">
        <v>0</v>
      </c>
      <c r="W132" s="469">
        <v>0</v>
      </c>
      <c r="X132" s="477">
        <v>0</v>
      </c>
      <c r="Y132" s="470">
        <f>SUM(U132:X132)</f>
      </c>
      <c r="Z132" s="477">
        <v>0</v>
      </c>
      <c r="AA132" s="477">
        <v>0</v>
      </c>
      <c r="AB132" s="477">
        <v>0</v>
      </c>
      <c r="AC132" s="477">
        <v>0</v>
      </c>
      <c r="AD132" s="470">
        <f>SUM(Z132:AC132)</f>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c>
      <c r="K133" s="469">
        <v>0</v>
      </c>
      <c r="L133" s="469">
        <v>0</v>
      </c>
      <c r="M133" s="469">
        <v>0</v>
      </c>
      <c r="N133" s="469">
        <v>0</v>
      </c>
      <c r="O133" s="470">
        <f>SUM(K133:N133)</f>
      </c>
      <c r="P133" s="469">
        <v>0</v>
      </c>
      <c r="Q133" s="469">
        <v>0</v>
      </c>
      <c r="R133" s="469">
        <v>0</v>
      </c>
      <c r="S133" s="469">
        <v>0</v>
      </c>
      <c r="T133" s="470">
        <f>SUM(P133:S133)</f>
      </c>
      <c r="U133" s="469">
        <v>0</v>
      </c>
      <c r="V133" s="469">
        <v>0</v>
      </c>
      <c r="W133" s="469">
        <v>0</v>
      </c>
      <c r="X133" s="477">
        <v>0</v>
      </c>
      <c r="Y133" s="470">
        <f>SUM(U133:X133)</f>
      </c>
      <c r="Z133" s="477">
        <v>0</v>
      </c>
      <c r="AA133" s="477">
        <v>0</v>
      </c>
      <c r="AB133" s="477">
        <v>0</v>
      </c>
      <c r="AC133" s="477">
        <v>0</v>
      </c>
      <c r="AD133" s="470">
        <f>SUM(Z133:AC133)</f>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c>
      <c r="K134" s="469">
        <v>0</v>
      </c>
      <c r="L134" s="469">
        <v>0</v>
      </c>
      <c r="M134" s="469">
        <v>0</v>
      </c>
      <c r="N134" s="469">
        <v>0</v>
      </c>
      <c r="O134" s="470">
        <f>SUM(K134:N134)</f>
      </c>
      <c r="P134" s="469">
        <v>0</v>
      </c>
      <c r="Q134" s="469">
        <v>0</v>
      </c>
      <c r="R134" s="469">
        <v>0</v>
      </c>
      <c r="S134" s="469">
        <v>0</v>
      </c>
      <c r="T134" s="470">
        <f>SUM(P134:S134)</f>
      </c>
      <c r="U134" s="469">
        <v>0</v>
      </c>
      <c r="V134" s="469">
        <v>0</v>
      </c>
      <c r="W134" s="469">
        <v>0</v>
      </c>
      <c r="X134" s="477">
        <v>0</v>
      </c>
      <c r="Y134" s="470">
        <f>SUM(U134:X134)</f>
      </c>
      <c r="Z134" s="477">
        <v>0</v>
      </c>
      <c r="AA134" s="477">
        <v>0</v>
      </c>
      <c r="AB134" s="477">
        <v>0</v>
      </c>
      <c r="AC134" s="477">
        <v>0</v>
      </c>
      <c r="AD134" s="470">
        <f>SUM(Z134:AC134)</f>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c>
      <c r="K135" s="469">
        <v>0</v>
      </c>
      <c r="L135" s="469">
        <v>0</v>
      </c>
      <c r="M135" s="469">
        <v>0</v>
      </c>
      <c r="N135" s="469">
        <v>0</v>
      </c>
      <c r="O135" s="470">
        <f>SUM(K135:N135)</f>
      </c>
      <c r="P135" s="469">
        <v>0</v>
      </c>
      <c r="Q135" s="469">
        <v>0</v>
      </c>
      <c r="R135" s="469">
        <v>0</v>
      </c>
      <c r="S135" s="469">
        <v>0</v>
      </c>
      <c r="T135" s="470">
        <f>SUM(P135:S135)</f>
      </c>
      <c r="U135" s="469">
        <v>0</v>
      </c>
      <c r="V135" s="469">
        <v>0</v>
      </c>
      <c r="W135" s="469">
        <v>0</v>
      </c>
      <c r="X135" s="477">
        <v>0</v>
      </c>
      <c r="Y135" s="470">
        <f>SUM(U135:X135)</f>
      </c>
      <c r="Z135" s="477">
        <v>0</v>
      </c>
      <c r="AA135" s="477">
        <v>0</v>
      </c>
      <c r="AB135" s="477">
        <v>0</v>
      </c>
      <c r="AC135" s="477">
        <v>0</v>
      </c>
      <c r="AD135" s="470">
        <f>SUM(Z135:AC135)</f>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9">SUM(F138:I138)</f>
        <v>0</v>
      </c>
      <c r="K138" s="469">
        <v>0</v>
      </c>
      <c r="L138" s="469">
        <v>0</v>
      </c>
      <c r="M138" s="469">
        <v>0</v>
      </c>
      <c r="N138" s="469">
        <v>0</v>
      </c>
      <c r="O138" s="470">
        <f t="shared" ref="O138:O142" si="140">SUM(K138:N138)</f>
        <v>0</v>
      </c>
      <c r="P138" s="469">
        <v>0</v>
      </c>
      <c r="Q138" s="469">
        <v>0</v>
      </c>
      <c r="R138" s="469">
        <v>0</v>
      </c>
      <c r="S138" s="469">
        <v>0</v>
      </c>
      <c r="T138" s="470">
        <f t="shared" ref="T138:T142" si="141">SUM(P138:S138)</f>
        <v>0</v>
      </c>
      <c r="U138" s="469">
        <v>0</v>
      </c>
      <c r="V138" s="469">
        <v>0</v>
      </c>
      <c r="W138" s="469">
        <v>0</v>
      </c>
      <c r="X138" s="477">
        <v>0</v>
      </c>
      <c r="Y138" s="470">
        <f t="shared" ref="Y138:Y142" si="142">SUM(U138:X138)</f>
        <v>0</v>
      </c>
      <c r="Z138" s="477">
        <v>0</v>
      </c>
      <c r="AA138" s="477">
        <v>0</v>
      </c>
      <c r="AB138" s="477">
        <v>0</v>
      </c>
      <c r="AC138" s="477">
        <v>0</v>
      </c>
      <c r="AD138" s="470">
        <f t="shared" ref="AD138:AD142" si="143">SUM(Z138:AC138)</f>
        <v>0</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c>
      <c r="K139" s="469">
        <v>0</v>
      </c>
      <c r="L139" s="469">
        <v>0</v>
      </c>
      <c r="M139" s="469">
        <v>0</v>
      </c>
      <c r="N139" s="469">
        <v>0</v>
      </c>
      <c r="O139" s="470">
        <f>SUM(K139:N139)</f>
      </c>
      <c r="P139" s="469">
        <v>0</v>
      </c>
      <c r="Q139" s="469">
        <v>0</v>
      </c>
      <c r="R139" s="469">
        <v>0</v>
      </c>
      <c r="S139" s="469">
        <v>0</v>
      </c>
      <c r="T139" s="470">
        <f>SUM(P139:S139)</f>
      </c>
      <c r="U139" s="469">
        <v>0</v>
      </c>
      <c r="V139" s="469">
        <v>0</v>
      </c>
      <c r="W139" s="469">
        <v>0</v>
      </c>
      <c r="X139" s="477">
        <v>0</v>
      </c>
      <c r="Y139" s="470">
        <f>SUM(U139:X139)</f>
      </c>
      <c r="Z139" s="477">
        <v>0</v>
      </c>
      <c r="AA139" s="477">
        <v>0</v>
      </c>
      <c r="AB139" s="477">
        <v>0</v>
      </c>
      <c r="AC139" s="477">
        <v>0</v>
      </c>
      <c r="AD139" s="470">
        <f>SUM(Z139:AC139)</f>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c>
      <c r="K140" s="469">
        <v>0</v>
      </c>
      <c r="L140" s="469">
        <v>0</v>
      </c>
      <c r="M140" s="469">
        <v>0</v>
      </c>
      <c r="N140" s="469">
        <v>0</v>
      </c>
      <c r="O140" s="470">
        <f>SUM(K140:N140)</f>
      </c>
      <c r="P140" s="469">
        <v>0</v>
      </c>
      <c r="Q140" s="469">
        <v>0</v>
      </c>
      <c r="R140" s="469">
        <v>0</v>
      </c>
      <c r="S140" s="469">
        <v>0</v>
      </c>
      <c r="T140" s="470">
        <f>SUM(P140:S140)</f>
      </c>
      <c r="U140" s="469">
        <v>0</v>
      </c>
      <c r="V140" s="469">
        <v>0</v>
      </c>
      <c r="W140" s="469">
        <v>0</v>
      </c>
      <c r="X140" s="477">
        <v>0</v>
      </c>
      <c r="Y140" s="470">
        <f>SUM(U140:X140)</f>
      </c>
      <c r="Z140" s="477">
        <v>0</v>
      </c>
      <c r="AA140" s="477">
        <v>0</v>
      </c>
      <c r="AB140" s="477">
        <v>0</v>
      </c>
      <c r="AC140" s="477">
        <v>0</v>
      </c>
      <c r="AD140" s="470">
        <f>SUM(Z140:AC140)</f>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c>
      <c r="K141" s="469">
        <v>0</v>
      </c>
      <c r="L141" s="469">
        <v>0</v>
      </c>
      <c r="M141" s="469">
        <v>0</v>
      </c>
      <c r="N141" s="469">
        <v>0</v>
      </c>
      <c r="O141" s="470">
        <f>SUM(K141:N141)</f>
      </c>
      <c r="P141" s="469">
        <v>0</v>
      </c>
      <c r="Q141" s="469">
        <v>0</v>
      </c>
      <c r="R141" s="469">
        <v>0</v>
      </c>
      <c r="S141" s="469">
        <v>0</v>
      </c>
      <c r="T141" s="470">
        <f>SUM(P141:S141)</f>
      </c>
      <c r="U141" s="469">
        <v>0</v>
      </c>
      <c r="V141" s="469">
        <v>0</v>
      </c>
      <c r="W141" s="469">
        <v>0</v>
      </c>
      <c r="X141" s="477">
        <v>0</v>
      </c>
      <c r="Y141" s="470">
        <f>SUM(U141:X141)</f>
      </c>
      <c r="Z141" s="477">
        <v>0</v>
      </c>
      <c r="AA141" s="477">
        <v>0</v>
      </c>
      <c r="AB141" s="477">
        <v>0</v>
      </c>
      <c r="AC141" s="477">
        <v>0</v>
      </c>
      <c r="AD141" s="470">
        <f>SUM(Z141:AC141)</f>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c>
      <c r="K142" s="469">
        <v>0</v>
      </c>
      <c r="L142" s="469">
        <v>0</v>
      </c>
      <c r="M142" s="469">
        <v>0</v>
      </c>
      <c r="N142" s="469">
        <v>0</v>
      </c>
      <c r="O142" s="470">
        <f>SUM(K142:N142)</f>
      </c>
      <c r="P142" s="469">
        <v>0</v>
      </c>
      <c r="Q142" s="469">
        <v>0</v>
      </c>
      <c r="R142" s="469">
        <v>0</v>
      </c>
      <c r="S142" s="469">
        <v>0</v>
      </c>
      <c r="T142" s="470">
        <f>SUM(P142:S142)</f>
      </c>
      <c r="U142" s="469">
        <v>0</v>
      </c>
      <c r="V142" s="469">
        <v>0</v>
      </c>
      <c r="W142" s="469">
        <v>0</v>
      </c>
      <c r="X142" s="477">
        <v>0</v>
      </c>
      <c r="Y142" s="470">
        <f>SUM(U142:X142)</f>
      </c>
      <c r="Z142" s="477">
        <v>0</v>
      </c>
      <c r="AA142" s="477">
        <v>0</v>
      </c>
      <c r="AB142" s="477">
        <v>0</v>
      </c>
      <c r="AC142" s="477">
        <v>0</v>
      </c>
      <c r="AD142" s="470">
        <f>SUM(Z142:AC142)</f>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4">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5">C16</f>
        <v>Home Improvement Retail</v>
      </c>
      <c r="D155" s="16"/>
      <c r="E155" s="16"/>
      <c r="F155" s="377">
        <f t="shared" ref="F155:AG155" si="146">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7">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8">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9">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50">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51">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2">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3">C89</f>
        <v>North America</v>
      </c>
      <c r="D180" s="16"/>
      <c r="E180" s="16"/>
      <c r="F180" s="474"/>
      <c r="G180" s="474"/>
      <c r="H180" s="474"/>
      <c r="I180" s="474"/>
      <c r="J180" s="168"/>
      <c r="K180" s="377" t="str">
        <f t="shared" ref="K180:AG180" si="154">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5">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6">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7">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8">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9">C89</f>
        <v>North America</v>
      </c>
      <c r="D200" s="16"/>
      <c r="E200" s="16"/>
      <c r="F200" s="474"/>
      <c r="G200" s="377" t="str">
        <f t="shared" ref="G200:I200" si="160">IFERROR(G88/F88-1,"N/A")</f>
        <v>N/A</v>
      </c>
      <c r="H200" s="377" t="str">
        <f>IFERROR(H88/G88-1,"N/A")</f>
        <v>N/A</v>
      </c>
      <c r="I200" s="377" t="str">
        <f>IFERROR(I88/H88-1,"N/A")</f>
        <v>N/A</v>
      </c>
      <c r="J200" s="168"/>
      <c r="K200" s="377" t="str">
        <f t="shared" ref="K200:K204" si="161">IFERROR(K88/I88-1,"N/A")</f>
        <v>N/A</v>
      </c>
      <c r="L200" s="377" t="str">
        <f t="shared" ref="L200:N200" si="162">IFERROR(L88/K88-1,"N/A")</f>
        <v>N/A</v>
      </c>
      <c r="M200" s="377" t="str">
        <f>IFERROR(M88/L88-1,"N/A")</f>
        <v>N/A</v>
      </c>
      <c r="N200" s="377" t="str">
        <f>IFERROR(N88/M88-1,"N/A")</f>
        <v>N/A</v>
      </c>
      <c r="O200" s="378"/>
      <c r="P200" s="377" t="str">
        <f t="shared" ref="P200:P204" si="163">IFERROR(P88/N88-1,"N/A")</f>
        <v>N/A</v>
      </c>
      <c r="Q200" s="377" t="str">
        <f t="shared" ref="Q200:S200" si="164">IFERROR(Q88/P88-1,"N/A")</f>
        <v>N/A</v>
      </c>
      <c r="R200" s="377" t="str">
        <f>IFERROR(R88/Q88-1,"N/A")</f>
        <v>N/A</v>
      </c>
      <c r="S200" s="377" t="str">
        <f>IFERROR(S88/R88-1,"N/A")</f>
        <v>N/A</v>
      </c>
      <c r="T200" s="378"/>
      <c r="U200" s="377" t="str">
        <f t="shared" ref="U200:U204" si="165">IFERROR(U88/S88-1,"N/A")</f>
        <v>N/A</v>
      </c>
      <c r="V200" s="377" t="str">
        <f t="shared" ref="V200:X200" si="166">IFERROR(V88/U88-1,"N/A")</f>
        <v>N/A</v>
      </c>
      <c r="W200" s="377" t="str">
        <f>IFERROR(W88/V88-1,"N/A")</f>
        <v>N/A</v>
      </c>
      <c r="X200" s="379" t="str">
        <f>IFERROR(X88/W88-1,"N/A")</f>
        <v>N/A</v>
      </c>
      <c r="Y200" s="378"/>
      <c r="Z200" s="379" t="str">
        <f t="shared" ref="Z200:Z204" si="167">IFERROR(Z88/X88-1,"N/A")</f>
        <v>N/A</v>
      </c>
      <c r="AA200" s="379" t="str">
        <f t="shared" ref="AA200:AC200" si="168">IFERROR(AA88/Z88-1,"N/A")</f>
        <v>N/A</v>
      </c>
      <c r="AB200" s="379" t="str">
        <f>IFERROR(AB88/AA88-1,"N/A")</f>
        <v>N/A</v>
      </c>
      <c r="AC200" s="379" t="str">
        <f>IFERROR(AC88/AB88-1,"N/A")</f>
        <v>N/A</v>
      </c>
      <c r="AD200" s="378"/>
      <c r="AE200" s="378" t="str">
        <f t="shared" ref="AE200:AG200" si="169">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70">IFERROR(G89/F89-1,"N/A")</f>
        <v>N/A</v>
      </c>
      <c r="H201" s="377" t="str">
        <f>IFERROR(H89/G89-1,"N/A")</f>
        <v>N/A</v>
      </c>
      <c r="I201" s="377" t="str">
        <f>IFERROR(I89/H89-1,"N/A")</f>
        <v>N/A</v>
      </c>
      <c r="J201" s="168"/>
      <c r="K201" s="377" t="str">
        <f>IFERROR(K89/I89-1,"N/A")</f>
        <v>N/A</v>
      </c>
      <c r="L201" s="377" t="str">
        <f t="shared" ref="L201:N201" si="171">IFERROR(L89/K89-1,"N/A")</f>
        <v>N/A</v>
      </c>
      <c r="M201" s="377" t="str">
        <f>IFERROR(M89/L89-1,"N/A")</f>
        <v>N/A</v>
      </c>
      <c r="N201" s="377" t="str">
        <f>IFERROR(N89/M89-1,"N/A")</f>
        <v>N/A</v>
      </c>
      <c r="O201" s="378"/>
      <c r="P201" s="377" t="str">
        <f>IFERROR(P89/N89-1,"N/A")</f>
        <v>N/A</v>
      </c>
      <c r="Q201" s="377" t="str">
        <f t="shared" ref="Q201:S201" si="172">IFERROR(Q89/P89-1,"N/A")</f>
        <v>N/A</v>
      </c>
      <c r="R201" s="377" t="str">
        <f>IFERROR(R89/Q89-1,"N/A")</f>
        <v>N/A</v>
      </c>
      <c r="S201" s="377" t="str">
        <f>IFERROR(S89/R89-1,"N/A")</f>
        <v>N/A</v>
      </c>
      <c r="T201" s="378"/>
      <c r="U201" s="377" t="str">
        <f>IFERROR(U89/S89-1,"N/A")</f>
        <v>N/A</v>
      </c>
      <c r="V201" s="377" t="str">
        <f t="shared" ref="V201:X201" si="173">IFERROR(V89/U89-1,"N/A")</f>
        <v>N/A</v>
      </c>
      <c r="W201" s="377" t="str">
        <f>IFERROR(W89/V89-1,"N/A")</f>
        <v>N/A</v>
      </c>
      <c r="X201" s="379" t="str">
        <f>IFERROR(X89/W89-1,"N/A")</f>
        <v>N/A</v>
      </c>
      <c r="Y201" s="378"/>
      <c r="Z201" s="379" t="str">
        <f>IFERROR(Z89/X89-1,"N/A")</f>
        <v>N/A</v>
      </c>
      <c r="AA201" s="379" t="str">
        <f t="shared" ref="AA201:AC201" si="174">IFERROR(AA89/Z89-1,"N/A")</f>
        <v>N/A</v>
      </c>
      <c r="AB201" s="379" t="str">
        <f>IFERROR(AB89/AA89-1,"N/A")</f>
        <v>N/A</v>
      </c>
      <c r="AC201" s="379" t="str">
        <f>IFERROR(AC89/AB89-1,"N/A")</f>
        <v>N/A</v>
      </c>
      <c r="AD201" s="378"/>
      <c r="AE201" s="378" t="str">
        <f t="shared" ref="AE201:AG201" si="175">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6">IFERROR(G90/F90-1,"N/A")</f>
        <v>N/A</v>
      </c>
      <c r="H202" s="377" t="str">
        <f>IFERROR(H90/G90-1,"N/A")</f>
        <v>N/A</v>
      </c>
      <c r="I202" s="377" t="str">
        <f>IFERROR(I90/H90-1,"N/A")</f>
        <v>N/A</v>
      </c>
      <c r="J202" s="168"/>
      <c r="K202" s="377" t="str">
        <f>IFERROR(K90/I90-1,"N/A")</f>
        <v>N/A</v>
      </c>
      <c r="L202" s="377" t="str">
        <f t="shared" ref="L202:N202" si="177">IFERROR(L90/K90-1,"N/A")</f>
        <v>N/A</v>
      </c>
      <c r="M202" s="377" t="str">
        <f>IFERROR(M90/L90-1,"N/A")</f>
        <v>N/A</v>
      </c>
      <c r="N202" s="377" t="str">
        <f>IFERROR(N90/M90-1,"N/A")</f>
        <v>N/A</v>
      </c>
      <c r="O202" s="378"/>
      <c r="P202" s="377" t="str">
        <f>IFERROR(P90/N90-1,"N/A")</f>
        <v>N/A</v>
      </c>
      <c r="Q202" s="377" t="str">
        <f t="shared" ref="Q202:S202" si="178">IFERROR(Q90/P90-1,"N/A")</f>
        <v>N/A</v>
      </c>
      <c r="R202" s="377" t="str">
        <f>IFERROR(R90/Q90-1,"N/A")</f>
        <v>N/A</v>
      </c>
      <c r="S202" s="377" t="str">
        <f>IFERROR(S90/R90-1,"N/A")</f>
        <v>N/A</v>
      </c>
      <c r="T202" s="378"/>
      <c r="U202" s="377" t="str">
        <f>IFERROR(U90/S90-1,"N/A")</f>
        <v>N/A</v>
      </c>
      <c r="V202" s="377" t="str">
        <f t="shared" ref="V202:X202" si="179">IFERROR(V90/U90-1,"N/A")</f>
        <v>N/A</v>
      </c>
      <c r="W202" s="377" t="str">
        <f>IFERROR(W90/V90-1,"N/A")</f>
        <v>N/A</v>
      </c>
      <c r="X202" s="379" t="str">
        <f>IFERROR(X90/W90-1,"N/A")</f>
        <v>N/A</v>
      </c>
      <c r="Y202" s="378"/>
      <c r="Z202" s="379" t="str">
        <f>IFERROR(Z90/X90-1,"N/A")</f>
        <v>N/A</v>
      </c>
      <c r="AA202" s="379" t="str">
        <f t="shared" ref="AA202:AC202" si="180">IFERROR(AA90/Z90-1,"N/A")</f>
        <v>N/A</v>
      </c>
      <c r="AB202" s="379" t="str">
        <f>IFERROR(AB90/AA90-1,"N/A")</f>
        <v>N/A</v>
      </c>
      <c r="AC202" s="379" t="str">
        <f>IFERROR(AC90/AB90-1,"N/A")</f>
        <v>N/A</v>
      </c>
      <c r="AD202" s="378"/>
      <c r="AE202" s="378" t="str">
        <f t="shared" ref="AE202:AG202" si="181">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2">IFERROR(G91/F91-1,"N/A")</f>
        <v>N/A</v>
      </c>
      <c r="H203" s="377" t="str">
        <f>IFERROR(H91/G91-1,"N/A")</f>
        <v>N/A</v>
      </c>
      <c r="I203" s="377" t="str">
        <f>IFERROR(I91/H91-1,"N/A")</f>
        <v>N/A</v>
      </c>
      <c r="J203" s="168"/>
      <c r="K203" s="377" t="str">
        <f>IFERROR(K91/I91-1,"N/A")</f>
        <v>N/A</v>
      </c>
      <c r="L203" s="377" t="str">
        <f t="shared" ref="L203:N203" si="183">IFERROR(L91/K91-1,"N/A")</f>
        <v>N/A</v>
      </c>
      <c r="M203" s="377" t="str">
        <f>IFERROR(M91/L91-1,"N/A")</f>
        <v>N/A</v>
      </c>
      <c r="N203" s="377" t="str">
        <f>IFERROR(N91/M91-1,"N/A")</f>
        <v>N/A</v>
      </c>
      <c r="O203" s="378"/>
      <c r="P203" s="377" t="str">
        <f>IFERROR(P91/N91-1,"N/A")</f>
        <v>N/A</v>
      </c>
      <c r="Q203" s="377" t="str">
        <f t="shared" ref="Q203:S203" si="184">IFERROR(Q91/P91-1,"N/A")</f>
        <v>N/A</v>
      </c>
      <c r="R203" s="377" t="str">
        <f>IFERROR(R91/Q91-1,"N/A")</f>
        <v>N/A</v>
      </c>
      <c r="S203" s="377" t="str">
        <f>IFERROR(S91/R91-1,"N/A")</f>
        <v>N/A</v>
      </c>
      <c r="T203" s="378"/>
      <c r="U203" s="377" t="str">
        <f>IFERROR(U91/S91-1,"N/A")</f>
        <v>N/A</v>
      </c>
      <c r="V203" s="377" t="str">
        <f t="shared" ref="V203:X203" si="185">IFERROR(V91/U91-1,"N/A")</f>
        <v>N/A</v>
      </c>
      <c r="W203" s="377" t="str">
        <f>IFERROR(W91/V91-1,"N/A")</f>
        <v>N/A</v>
      </c>
      <c r="X203" s="379" t="str">
        <f>IFERROR(X91/W91-1,"N/A")</f>
        <v>N/A</v>
      </c>
      <c r="Y203" s="378"/>
      <c r="Z203" s="379" t="str">
        <f>IFERROR(Z91/X91-1,"N/A")</f>
        <v>N/A</v>
      </c>
      <c r="AA203" s="379" t="str">
        <f t="shared" ref="AA203:AC203" si="186">IFERROR(AA91/Z91-1,"N/A")</f>
        <v>N/A</v>
      </c>
      <c r="AB203" s="379" t="str">
        <f>IFERROR(AB91/AA91-1,"N/A")</f>
        <v>N/A</v>
      </c>
      <c r="AC203" s="379" t="str">
        <f>IFERROR(AC91/AB91-1,"N/A")</f>
        <v>N/A</v>
      </c>
      <c r="AD203" s="378"/>
      <c r="AE203" s="378" t="str">
        <f t="shared" ref="AE203:AG203" si="187">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8">IFERROR(G92/F92-1,"N/A")</f>
        <v>N/A</v>
      </c>
      <c r="H204" s="377" t="str">
        <f>IFERROR(H92/G92-1,"N/A")</f>
        <v>N/A</v>
      </c>
      <c r="I204" s="377" t="str">
        <f>IFERROR(I92/H92-1,"N/A")</f>
        <v>N/A</v>
      </c>
      <c r="J204" s="168"/>
      <c r="K204" s="377" t="str">
        <f>IFERROR(K92/I92-1,"N/A")</f>
        <v>N/A</v>
      </c>
      <c r="L204" s="377" t="str">
        <f t="shared" ref="L204:N204" si="189">IFERROR(L92/K92-1,"N/A")</f>
        <v>N/A</v>
      </c>
      <c r="M204" s="377" t="str">
        <f>IFERROR(M92/L92-1,"N/A")</f>
        <v>N/A</v>
      </c>
      <c r="N204" s="377" t="str">
        <f>IFERROR(N92/M92-1,"N/A")</f>
        <v>N/A</v>
      </c>
      <c r="O204" s="378"/>
      <c r="P204" s="377" t="str">
        <f>IFERROR(P92/N92-1,"N/A")</f>
        <v>N/A</v>
      </c>
      <c r="Q204" s="377" t="str">
        <f t="shared" ref="Q204:S204" si="190">IFERROR(Q92/P92-1,"N/A")</f>
        <v>N/A</v>
      </c>
      <c r="R204" s="377" t="str">
        <f>IFERROR(R92/Q92-1,"N/A")</f>
        <v>N/A</v>
      </c>
      <c r="S204" s="377" t="str">
        <f>IFERROR(S92/R92-1,"N/A")</f>
        <v>N/A</v>
      </c>
      <c r="T204" s="378"/>
      <c r="U204" s="377" t="str">
        <f>IFERROR(U92/S92-1,"N/A")</f>
        <v>N/A</v>
      </c>
      <c r="V204" s="377" t="str">
        <f t="shared" ref="V204:X204" si="191">IFERROR(V92/U92-1,"N/A")</f>
        <v>N/A</v>
      </c>
      <c r="W204" s="377" t="str">
        <f>IFERROR(W92/V92-1,"N/A")</f>
        <v>N/A</v>
      </c>
      <c r="X204" s="379" t="str">
        <f>IFERROR(X92/W92-1,"N/A")</f>
        <v>N/A</v>
      </c>
      <c r="Y204" s="378"/>
      <c r="Z204" s="379" t="str">
        <f>IFERROR(Z92/X92-1,"N/A")</f>
        <v>N/A</v>
      </c>
      <c r="AA204" s="379" t="str">
        <f t="shared" ref="AA204:AC204" si="192">IFERROR(AA92/Z92-1,"N/A")</f>
        <v>N/A</v>
      </c>
      <c r="AB204" s="379" t="str">
        <f>IFERROR(AB92/AA92-1,"N/A")</f>
        <v>N/A</v>
      </c>
      <c r="AC204" s="379" t="str">
        <f>IFERROR(AC92/AB92-1,"N/A")</f>
        <v>N/A</v>
      </c>
      <c r="AD204" s="378"/>
      <c r="AE204" s="378" t="str">
        <f t="shared" ref="AE204:AG204" si="193">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v>
      </c>
      <c r="G45" s="377">
        <f>Model!G68</f>
        <v>0</v>
      </c>
      <c r="H45" s="377">
        <f>Model!H68</f>
        <v>0</v>
      </c>
      <c r="I45" s="377">
        <f>Model!I68</f>
        <v>0</v>
      </c>
      <c r="J45" s="378">
        <f>Model!J68</f>
        <v>0</v>
      </c>
      <c r="K45" s="377">
        <f>Model!K68</f>
        <v>0</v>
      </c>
      <c r="L45" s="377">
        <f>Model!L68</f>
        <v>0</v>
      </c>
      <c r="M45" s="377">
        <f>Model!M68</f>
        <v>0</v>
      </c>
      <c r="N45" s="377">
        <f>Model!N68</f>
        <v>0</v>
      </c>
      <c r="O45" s="378">
        <f>Model!O68</f>
        <v>0</v>
      </c>
      <c r="P45" s="377">
        <f>Model!P68</f>
        <v>0</v>
      </c>
      <c r="Q45" s="377">
        <f>Model!Q68</f>
        <v>0</v>
      </c>
      <c r="R45" s="377">
        <f>Model!R68</f>
        <v>0</v>
      </c>
      <c r="S45" s="377">
        <f>Model!S68</f>
        <v>0</v>
      </c>
      <c r="T45" s="378">
        <f>Model!T68</f>
        <v>0</v>
      </c>
      <c r="U45" s="377">
        <f>Model!U68</f>
        <v>0</v>
      </c>
      <c r="V45" s="377">
        <f>Model!V68</f>
        <v>0</v>
      </c>
      <c r="W45" s="377">
        <f>Model!W68</f>
        <v>0</v>
      </c>
      <c r="X45" s="379">
        <f>IF(Case_Scenario="Bull",X46,IF(Case_Scenario="Base",X47,IF(Case_Scenario="bear",X48,"N/A")))</f>
        <v>0</v>
      </c>
      <c r="Y45" s="378">
        <f>Model!Y68</f>
        <v>0</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0</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0</v>
      </c>
      <c r="G50" s="377">
        <f>Model!G69</f>
        <v>0</v>
      </c>
      <c r="H50" s="377">
        <f>Model!H69</f>
        <v>0</v>
      </c>
      <c r="I50" s="377">
        <f>Model!I69</f>
        <v>0</v>
      </c>
      <c r="J50" s="378">
        <f>Model!J69</f>
        <v>0</v>
      </c>
      <c r="K50" s="377">
        <f>Model!K69</f>
        <v>0</v>
      </c>
      <c r="L50" s="377">
        <f>Model!L69</f>
        <v>0</v>
      </c>
      <c r="M50" s="377">
        <f>Model!M69</f>
        <v>0</v>
      </c>
      <c r="N50" s="377">
        <f>Model!N69</f>
        <v>0</v>
      </c>
      <c r="O50" s="378">
        <f>Model!O69</f>
        <v>0</v>
      </c>
      <c r="P50" s="377">
        <f>Model!P69</f>
        <v>0</v>
      </c>
      <c r="Q50" s="377">
        <f>Model!Q69</f>
        <v>0</v>
      </c>
      <c r="R50" s="377">
        <f>Model!R69</f>
        <v>0</v>
      </c>
      <c r="S50" s="377">
        <f>Model!S69</f>
        <v>0</v>
      </c>
      <c r="T50" s="378">
        <f>Model!T69</f>
        <v>0</v>
      </c>
      <c r="U50" s="377">
        <f>Model!U69</f>
        <v>0</v>
      </c>
      <c r="V50" s="377">
        <f>Model!V69</f>
        <v>0</v>
      </c>
      <c r="W50" s="377">
        <f>Model!W69</f>
        <v>0</v>
      </c>
      <c r="X50" s="379">
        <f>IF(Case_Scenario="Bull",X51,IF(Case_Scenario="Base",X52,IF(Case_Scenario="bear",X53,"N/A")))</f>
        <v>0</v>
      </c>
      <c r="Y50" s="378">
        <f>Model!Y69</f>
        <v>0</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0</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v>
      </c>
      <c r="G57" s="377">
        <f>Model!G70</f>
        <v>0</v>
      </c>
      <c r="H57" s="377">
        <f>Model!H70</f>
        <v>0</v>
      </c>
      <c r="I57" s="377">
        <f>Model!I70</f>
        <v>0</v>
      </c>
      <c r="J57" s="378">
        <f>Model!J70</f>
        <v>0</v>
      </c>
      <c r="K57" s="377">
        <f>Model!K70</f>
        <v>0</v>
      </c>
      <c r="L57" s="377">
        <f>Model!L70</f>
        <v>0</v>
      </c>
      <c r="M57" s="377">
        <f>Model!M70</f>
        <v>0</v>
      </c>
      <c r="N57" s="377">
        <f>Model!N70</f>
        <v>0</v>
      </c>
      <c r="O57" s="378">
        <f>Model!O70</f>
        <v>0</v>
      </c>
      <c r="P57" s="377">
        <f>Model!P70</f>
        <v>0</v>
      </c>
      <c r="Q57" s="377">
        <f>Model!Q70</f>
        <v>0</v>
      </c>
      <c r="R57" s="377">
        <f>Model!R70</f>
        <v>-0.047514456049128156</v>
      </c>
      <c r="S57" s="377">
        <f>Model!S70</f>
        <v>-0.061296834227758355</v>
      </c>
      <c r="T57" s="378">
        <f>Model!T70</f>
        <v>-0.02572630780048439</v>
      </c>
      <c r="U57" s="377">
        <f>Model!U70</f>
        <v>0</v>
      </c>
      <c r="V57" s="377">
        <f>Model!V70</f>
        <v>0</v>
      </c>
      <c r="W57" s="377">
        <f>Model!W70</f>
        <v>0</v>
      </c>
      <c r="X57" s="379">
        <f>IF(Case_Scenario="Bull",X58,IF(Case_Scenario="Base",X59,IF(Case_Scenario="bear",X60,"N/A")))</f>
        <v>0</v>
      </c>
      <c r="Y57" s="378">
        <f>Model!Y70</f>
        <v>0</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0</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0</v>
      </c>
      <c r="G62" s="325">
        <f>Model!G40</f>
        <v>0</v>
      </c>
      <c r="H62" s="325">
        <f>Model!H40</f>
        <v>0</v>
      </c>
      <c r="I62" s="325">
        <f>Model!I40</f>
        <v>0</v>
      </c>
      <c r="J62" s="326">
        <f>Model!J40</f>
        <v>0</v>
      </c>
      <c r="K62" s="325">
        <f>Model!K40</f>
        <v>0</v>
      </c>
      <c r="L62" s="325">
        <f>Model!L40</f>
        <v>0</v>
      </c>
      <c r="M62" s="325">
        <f>Model!M40</f>
        <v>0</v>
      </c>
      <c r="N62" s="325">
        <f>Model!N40</f>
        <v>0</v>
      </c>
      <c r="O62" s="326">
        <f>Model!O40</f>
        <v>0</v>
      </c>
      <c r="P62" s="325">
        <f>Model!P40</f>
        <v>0</v>
      </c>
      <c r="Q62" s="325">
        <f>Model!Q40</f>
        <v>0</v>
      </c>
      <c r="R62" s="325">
        <f>Model!R40</f>
        <v>0</v>
      </c>
      <c r="S62" s="325">
        <f>Model!S40</f>
        <v>0</v>
      </c>
      <c r="T62" s="326">
        <f>Model!T40</f>
        <v>0</v>
      </c>
      <c r="U62" s="325">
        <f>Model!U40</f>
        <v>0</v>
      </c>
      <c r="V62" s="325">
        <f>Model!V40</f>
        <v>0</v>
      </c>
      <c r="W62" s="325">
        <f>Model!W40</f>
        <v>0</v>
      </c>
      <c r="X62" s="517">
        <v>0</v>
      </c>
      <c r="Y62" s="326">
        <f>Model!Y40</f>
        <v>0</v>
      </c>
      <c r="Z62" s="517">
        <v>0</v>
      </c>
      <c r="AA62" s="517">
        <v>0</v>
      </c>
      <c r="AB62" s="517">
        <v>0</v>
      </c>
      <c r="AC62" s="517">
        <v>0</v>
      </c>
      <c r="AD62" s="326">
        <f>Model!AD40</f>
        <v>0</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0</v>
      </c>
      <c r="G79" s="522">
        <f>'Segment Analysis'!G63</f>
        <v>0</v>
      </c>
      <c r="H79" s="522">
        <f>'Segment Analysis'!H63</f>
        <v>0</v>
      </c>
      <c r="I79" s="522">
        <f>'Segment Analysis'!I63</f>
        <v>0</v>
      </c>
      <c r="J79" s="381">
        <f>'Segment Analysis'!J63</f>
        <v>0</v>
      </c>
      <c r="K79" s="522">
        <f>'Segment Analysis'!K63</f>
        <v>0</v>
      </c>
      <c r="L79" s="522">
        <f>'Segment Analysis'!L63</f>
        <v>0</v>
      </c>
      <c r="M79" s="522">
        <f>'Segment Analysis'!M63</f>
        <v>0</v>
      </c>
      <c r="N79" s="522">
        <f>'Segment Analysis'!N63</f>
        <v>0</v>
      </c>
      <c r="O79" s="381">
        <f>'Segment Analysis'!O63</f>
        <v>0</v>
      </c>
      <c r="P79" s="522">
        <f>'Segment Analysis'!P63</f>
        <v>0</v>
      </c>
      <c r="Q79" s="522">
        <f>'Segment Analysis'!Q63</f>
        <v>0</v>
      </c>
      <c r="R79" s="522">
        <f>'Segment Analysis'!R63</f>
        <v>0</v>
      </c>
      <c r="S79" s="522">
        <f>'Segment Analysis'!S63</f>
        <v>0</v>
      </c>
      <c r="T79" s="381">
        <f>'Segment Analysis'!T63</f>
        <v>0</v>
      </c>
      <c r="U79" s="522">
        <f>'Segment Analysis'!U63</f>
        <v>0</v>
      </c>
      <c r="V79" s="522">
        <f>'Segment Analysis'!V63</f>
        <v>0</v>
      </c>
      <c r="W79" s="522">
        <f>'Segment Analysis'!W63</f>
        <v>0</v>
      </c>
      <c r="X79" s="320">
        <v>0</v>
      </c>
      <c r="Y79" s="381">
        <f>'Segment Analysis'!Y63</f>
        <v>0</v>
      </c>
      <c r="Z79" s="320">
        <v>0</v>
      </c>
      <c r="AA79" s="320">
        <v>0</v>
      </c>
      <c r="AB79" s="320">
        <v>0</v>
      </c>
      <c r="AC79" s="320">
        <v>0</v>
      </c>
      <c r="AD79" s="381">
        <f>'Segment Analysis'!AD63</f>
        <v>0</v>
      </c>
      <c r="AE79" s="321">
        <v>0</v>
      </c>
      <c r="AF79" s="321">
        <v>0</v>
      </c>
      <c r="AG79" s="321">
        <v>0</v>
      </c>
      <c r="AH79" s="16"/>
      <c r="AI79" s="16"/>
    </row>
    <row r="80" ht="12.75" customHeight="1" spans="1:35" x14ac:dyDescent="0.25">
      <c r="A80" s="16"/>
      <c r="B80" s="16"/>
      <c r="C80" s="491" t="str">
        <f>'Segment Analysis'!C64</f>
        <v>Segment 3</v>
      </c>
      <c r="D80" s="16"/>
      <c r="E80" s="16"/>
      <c r="F80" s="522">
        <f>'Segment Analysis'!F64</f>
        <v>0</v>
      </c>
      <c r="G80" s="522">
        <f>'Segment Analysis'!G64</f>
        <v>0</v>
      </c>
      <c r="H80" s="522">
        <f>'Segment Analysis'!H64</f>
        <v>0</v>
      </c>
      <c r="I80" s="522">
        <f>'Segment Analysis'!I64</f>
        <v>0</v>
      </c>
      <c r="J80" s="381">
        <f>'Segment Analysis'!J64</f>
        <v>0</v>
      </c>
      <c r="K80" s="522">
        <f>'Segment Analysis'!K64</f>
        <v>0</v>
      </c>
      <c r="L80" s="522">
        <f>'Segment Analysis'!L64</f>
        <v>0</v>
      </c>
      <c r="M80" s="522">
        <f>'Segment Analysis'!M64</f>
        <v>0</v>
      </c>
      <c r="N80" s="522">
        <f>'Segment Analysis'!N64</f>
        <v>0</v>
      </c>
      <c r="O80" s="381">
        <f>'Segment Analysis'!O64</f>
        <v>0</v>
      </c>
      <c r="P80" s="522">
        <f>'Segment Analysis'!P64</f>
        <v>0</v>
      </c>
      <c r="Q80" s="522">
        <f>'Segment Analysis'!Q64</f>
        <v>0</v>
      </c>
      <c r="R80" s="522">
        <f>'Segment Analysis'!R64</f>
        <v>0</v>
      </c>
      <c r="S80" s="522">
        <f>'Segment Analysis'!S64</f>
        <v>0</v>
      </c>
      <c r="T80" s="381">
        <f>'Segment Analysis'!T64</f>
        <v>0</v>
      </c>
      <c r="U80" s="522">
        <f>'Segment Analysis'!U64</f>
        <v>0</v>
      </c>
      <c r="V80" s="522">
        <f>'Segment Analysis'!V64</f>
        <v>0</v>
      </c>
      <c r="W80" s="522">
        <f>'Segment Analysis'!W64</f>
        <v>0</v>
      </c>
      <c r="X80" s="320">
        <v>0</v>
      </c>
      <c r="Y80" s="381">
        <f>'Segment Analysis'!Y64</f>
        <v>0</v>
      </c>
      <c r="Z80" s="320">
        <v>0</v>
      </c>
      <c r="AA80" s="320">
        <v>0</v>
      </c>
      <c r="AB80" s="320">
        <v>0</v>
      </c>
      <c r="AC80" s="320">
        <v>0</v>
      </c>
      <c r="AD80" s="381">
        <f>'Segment Analysis'!AD64</f>
        <v>0</v>
      </c>
      <c r="AE80" s="321">
        <v>0</v>
      </c>
      <c r="AF80" s="321">
        <v>0</v>
      </c>
      <c r="AG80" s="321">
        <v>0</v>
      </c>
      <c r="AH80" s="16"/>
      <c r="AI80" s="16"/>
    </row>
    <row r="81" ht="12.75" customHeight="1" spans="1:35" x14ac:dyDescent="0.25">
      <c r="A81" s="16"/>
      <c r="B81" s="16"/>
      <c r="C81" s="491" t="str">
        <f>'Segment Analysis'!C65</f>
        <v>Segment 4</v>
      </c>
      <c r="D81" s="16"/>
      <c r="E81" s="16"/>
      <c r="F81" s="522">
        <f>'Segment Analysis'!F65</f>
        <v>0</v>
      </c>
      <c r="G81" s="522">
        <f>'Segment Analysis'!G65</f>
        <v>0</v>
      </c>
      <c r="H81" s="522">
        <f>'Segment Analysis'!H65</f>
        <v>0</v>
      </c>
      <c r="I81" s="522">
        <f>'Segment Analysis'!I65</f>
        <v>0</v>
      </c>
      <c r="J81" s="381">
        <f>'Segment Analysis'!J65</f>
        <v>0</v>
      </c>
      <c r="K81" s="522">
        <f>'Segment Analysis'!K65</f>
        <v>0</v>
      </c>
      <c r="L81" s="522">
        <f>'Segment Analysis'!L65</f>
        <v>0</v>
      </c>
      <c r="M81" s="522">
        <f>'Segment Analysis'!M65</f>
        <v>0</v>
      </c>
      <c r="N81" s="522">
        <f>'Segment Analysis'!N65</f>
        <v>0</v>
      </c>
      <c r="O81" s="381">
        <f>'Segment Analysis'!O65</f>
        <v>0</v>
      </c>
      <c r="P81" s="522">
        <f>'Segment Analysis'!P65</f>
        <v>0</v>
      </c>
      <c r="Q81" s="522">
        <f>'Segment Analysis'!Q65</f>
        <v>0</v>
      </c>
      <c r="R81" s="522">
        <f>'Segment Analysis'!R65</f>
        <v>0</v>
      </c>
      <c r="S81" s="522">
        <f>'Segment Analysis'!S65</f>
        <v>0</v>
      </c>
      <c r="T81" s="381">
        <f>'Segment Analysis'!T65</f>
        <v>0</v>
      </c>
      <c r="U81" s="522">
        <f>'Segment Analysis'!U65</f>
        <v>0</v>
      </c>
      <c r="V81" s="522">
        <f>'Segment Analysis'!V65</f>
        <v>0</v>
      </c>
      <c r="W81" s="522">
        <f>'Segment Analysis'!W65</f>
        <v>0</v>
      </c>
      <c r="X81" s="320">
        <v>0</v>
      </c>
      <c r="Y81" s="381">
        <f>'Segment Analysis'!Y65</f>
        <v>0</v>
      </c>
      <c r="Z81" s="320">
        <v>0</v>
      </c>
      <c r="AA81" s="320">
        <v>0</v>
      </c>
      <c r="AB81" s="320">
        <v>0</v>
      </c>
      <c r="AC81" s="320">
        <v>0</v>
      </c>
      <c r="AD81" s="381">
        <f>'Segment Analysis'!AD65</f>
        <v>0</v>
      </c>
      <c r="AE81" s="321">
        <v>0</v>
      </c>
      <c r="AF81" s="321">
        <v>0</v>
      </c>
      <c r="AG81" s="321">
        <v>0</v>
      </c>
      <c r="AH81" s="16"/>
      <c r="AI81" s="16"/>
    </row>
    <row r="82" ht="12.75" customHeight="1" spans="1:35" x14ac:dyDescent="0.25">
      <c r="A82" s="16"/>
      <c r="B82" s="16"/>
      <c r="C82" s="491" t="str">
        <f>'Segment Analysis'!C66</f>
        <v>Segment 5</v>
      </c>
      <c r="D82" s="16"/>
      <c r="E82" s="16"/>
      <c r="F82" s="522">
        <f>'Segment Analysis'!F66</f>
        <v>0</v>
      </c>
      <c r="G82" s="522">
        <f>'Segment Analysis'!G66</f>
        <v>0</v>
      </c>
      <c r="H82" s="522">
        <f>'Segment Analysis'!H66</f>
        <v>0</v>
      </c>
      <c r="I82" s="522">
        <f>'Segment Analysis'!I66</f>
        <v>0</v>
      </c>
      <c r="J82" s="381">
        <f>'Segment Analysis'!J66</f>
        <v>0</v>
      </c>
      <c r="K82" s="522">
        <f>'Segment Analysis'!K66</f>
        <v>0</v>
      </c>
      <c r="L82" s="522">
        <f>'Segment Analysis'!L66</f>
        <v>0</v>
      </c>
      <c r="M82" s="522">
        <f>'Segment Analysis'!M66</f>
        <v>0</v>
      </c>
      <c r="N82" s="522">
        <f>'Segment Analysis'!N66</f>
        <v>0</v>
      </c>
      <c r="O82" s="381">
        <f>'Segment Analysis'!O66</f>
        <v>0</v>
      </c>
      <c r="P82" s="522">
        <f>'Segment Analysis'!P66</f>
        <v>0</v>
      </c>
      <c r="Q82" s="522">
        <f>'Segment Analysis'!Q66</f>
        <v>0</v>
      </c>
      <c r="R82" s="522">
        <f>'Segment Analysis'!R66</f>
        <v>0</v>
      </c>
      <c r="S82" s="522">
        <f>'Segment Analysis'!S66</f>
        <v>0</v>
      </c>
      <c r="T82" s="381">
        <f>'Segment Analysis'!T66</f>
        <v>0</v>
      </c>
      <c r="U82" s="522">
        <f>'Segment Analysis'!U66</f>
        <v>0</v>
      </c>
      <c r="V82" s="522">
        <f>'Segment Analysis'!V66</f>
        <v>0</v>
      </c>
      <c r="W82" s="522">
        <f>'Segment Analysis'!W66</f>
        <v>0</v>
      </c>
      <c r="X82" s="320">
        <v>0</v>
      </c>
      <c r="Y82" s="381">
        <f>'Segment Analysis'!Y66</f>
        <v>0</v>
      </c>
      <c r="Z82" s="320">
        <v>0</v>
      </c>
      <c r="AA82" s="320">
        <v>0</v>
      </c>
      <c r="AB82" s="320">
        <v>0</v>
      </c>
      <c r="AC82" s="320">
        <v>0</v>
      </c>
      <c r="AD82" s="381">
        <f>'Segment Analysis'!AD66</f>
        <v>0</v>
      </c>
      <c r="AE82" s="321">
        <v>0</v>
      </c>
      <c r="AF82" s="321">
        <v>0</v>
      </c>
      <c r="AG82" s="321">
        <v>0</v>
      </c>
      <c r="AH82" s="16"/>
      <c r="AI82" s="16"/>
    </row>
    <row r="83" ht="12.75" customHeight="1" spans="1:35" x14ac:dyDescent="0.25">
      <c r="A83" s="16"/>
      <c r="B83" s="16"/>
      <c r="C83" s="491" t="str">
        <f>'Segment Analysis'!C67</f>
        <v>Segment 6</v>
      </c>
      <c r="D83" s="16"/>
      <c r="E83" s="16"/>
      <c r="F83" s="522">
        <f>'Segment Analysis'!F67</f>
        <v>0</v>
      </c>
      <c r="G83" s="522">
        <f>'Segment Analysis'!G67</f>
        <v>0</v>
      </c>
      <c r="H83" s="522">
        <f>'Segment Analysis'!H67</f>
        <v>0</v>
      </c>
      <c r="I83" s="522">
        <f>'Segment Analysis'!I67</f>
        <v>0</v>
      </c>
      <c r="J83" s="381">
        <f>'Segment Analysis'!J67</f>
        <v>0</v>
      </c>
      <c r="K83" s="522">
        <f>'Segment Analysis'!K67</f>
        <v>0</v>
      </c>
      <c r="L83" s="522">
        <f>'Segment Analysis'!L67</f>
        <v>0</v>
      </c>
      <c r="M83" s="522">
        <f>'Segment Analysis'!M67</f>
        <v>0</v>
      </c>
      <c r="N83" s="522">
        <f>'Segment Analysis'!N67</f>
        <v>0</v>
      </c>
      <c r="O83" s="381">
        <f>'Segment Analysis'!O67</f>
        <v>0</v>
      </c>
      <c r="P83" s="522">
        <f>'Segment Analysis'!P67</f>
        <v>0</v>
      </c>
      <c r="Q83" s="522">
        <f>'Segment Analysis'!Q67</f>
        <v>0</v>
      </c>
      <c r="R83" s="522">
        <f>'Segment Analysis'!R67</f>
        <v>0</v>
      </c>
      <c r="S83" s="522">
        <f>'Segment Analysis'!S67</f>
        <v>0</v>
      </c>
      <c r="T83" s="381">
        <f>'Segment Analysis'!T67</f>
        <v>0</v>
      </c>
      <c r="U83" s="522">
        <f>'Segment Analysis'!U67</f>
        <v>0</v>
      </c>
      <c r="V83" s="522">
        <f>'Segment Analysis'!V67</f>
        <v>0</v>
      </c>
      <c r="W83" s="522">
        <f>'Segment Analysis'!W67</f>
        <v>0</v>
      </c>
      <c r="X83" s="320">
        <v>0</v>
      </c>
      <c r="Y83" s="381">
        <f>'Segment Analysis'!Y67</f>
        <v>0</v>
      </c>
      <c r="Z83" s="320">
        <v>0</v>
      </c>
      <c r="AA83" s="320">
        <v>0</v>
      </c>
      <c r="AB83" s="320">
        <v>0</v>
      </c>
      <c r="AC83" s="320">
        <v>0</v>
      </c>
      <c r="AD83" s="381">
        <f>'Segment Analysis'!AD67</f>
        <v>0</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0</v>
      </c>
      <c r="G97" s="325">
        <f>Model!G84</f>
        <v>0</v>
      </c>
      <c r="H97" s="325">
        <f>Model!H84</f>
        <v>0</v>
      </c>
      <c r="I97" s="325">
        <f>Model!I84</f>
        <v>0</v>
      </c>
      <c r="J97" s="326">
        <f>Model!J84</f>
        <v>0</v>
      </c>
      <c r="K97" s="325">
        <f>Model!K84</f>
        <v>0</v>
      </c>
      <c r="L97" s="325">
        <f>Model!L84</f>
        <v>0</v>
      </c>
      <c r="M97" s="325">
        <f>Model!M84</f>
        <v>0</v>
      </c>
      <c r="N97" s="325">
        <f>Model!N84</f>
        <v>0</v>
      </c>
      <c r="O97" s="326">
        <f>Model!O84</f>
        <v>0</v>
      </c>
      <c r="P97" s="325">
        <f>Model!P84</f>
        <v>0</v>
      </c>
      <c r="Q97" s="325">
        <f>Model!Q84</f>
        <v>0</v>
      </c>
      <c r="R97" s="325">
        <f>Model!R84</f>
        <v>0</v>
      </c>
      <c r="S97" s="325">
        <f>Model!S84</f>
        <v>0</v>
      </c>
      <c r="T97" s="326">
        <f>Model!T84</f>
        <v>0</v>
      </c>
      <c r="U97" s="325">
        <f>Model!U84</f>
        <v>0</v>
      </c>
      <c r="V97" s="325">
        <f>Model!V84</f>
        <v>0</v>
      </c>
      <c r="W97" s="325">
        <f>Model!W84</f>
        <v>0</v>
      </c>
      <c r="X97" s="517">
        <v>0</v>
      </c>
      <c r="Y97" s="326">
        <f>Model!Y84</f>
        <v>0</v>
      </c>
      <c r="Z97" s="517">
        <v>0</v>
      </c>
      <c r="AA97" s="517">
        <v>0</v>
      </c>
      <c r="AB97" s="517">
        <v>0</v>
      </c>
      <c r="AC97" s="517">
        <v>0</v>
      </c>
      <c r="AD97" s="326">
        <f>Model!AD84</f>
        <v>0</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0</v>
      </c>
      <c r="G106" s="325">
        <f>Model!G95</f>
        <v>0</v>
      </c>
      <c r="H106" s="325">
        <f>Model!H95</f>
        <v>0</v>
      </c>
      <c r="I106" s="325">
        <f>Model!I95</f>
        <v>0</v>
      </c>
      <c r="J106" s="326">
        <f>Model!J95</f>
        <v>0</v>
      </c>
      <c r="K106" s="325">
        <f>Model!K95</f>
        <v>0</v>
      </c>
      <c r="L106" s="325">
        <f>Model!L95</f>
        <v>0</v>
      </c>
      <c r="M106" s="325">
        <f>Model!M95</f>
        <v>0</v>
      </c>
      <c r="N106" s="325">
        <f>Model!N95</f>
        <v>0</v>
      </c>
      <c r="O106" s="326">
        <f>Model!O95</f>
        <v>0</v>
      </c>
      <c r="P106" s="325">
        <f>Model!P95</f>
        <v>0</v>
      </c>
      <c r="Q106" s="325">
        <f>Model!Q95</f>
        <v>0</v>
      </c>
      <c r="R106" s="325">
        <f>Model!R95</f>
        <v>0</v>
      </c>
      <c r="S106" s="325">
        <f>Model!S95</f>
        <v>0</v>
      </c>
      <c r="T106" s="326">
        <f>Model!T95</f>
        <v>0</v>
      </c>
      <c r="U106" s="325">
        <f>Model!U95</f>
        <v>0</v>
      </c>
      <c r="V106" s="325">
        <f>Model!V95</f>
        <v>0</v>
      </c>
      <c r="W106" s="325">
        <f>Model!W95</f>
        <v>0</v>
      </c>
      <c r="X106" s="517">
        <v>0</v>
      </c>
      <c r="Y106" s="326">
        <f>Model!Y95</f>
        <v>0</v>
      </c>
      <c r="Z106" s="517">
        <v>0</v>
      </c>
      <c r="AA106" s="517">
        <v>0</v>
      </c>
      <c r="AB106" s="517">
        <v>0</v>
      </c>
      <c r="AC106" s="517">
        <v>0</v>
      </c>
      <c r="AD106" s="326">
        <f>Model!AD95</f>
        <v>0</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0</v>
      </c>
      <c r="G108" s="325">
        <f>Model!G98</f>
        <v>0</v>
      </c>
      <c r="H108" s="325">
        <f>Model!H98</f>
        <v>0</v>
      </c>
      <c r="I108" s="325">
        <f>Model!I98</f>
        <v>0</v>
      </c>
      <c r="J108" s="326">
        <f>Model!J98</f>
        <v>0</v>
      </c>
      <c r="K108" s="325">
        <f>Model!K98</f>
        <v>0</v>
      </c>
      <c r="L108" s="325">
        <f>Model!L98</f>
        <v>0</v>
      </c>
      <c r="M108" s="325">
        <f>Model!M98</f>
        <v>0</v>
      </c>
      <c r="N108" s="325">
        <f>Model!N98</f>
        <v>0</v>
      </c>
      <c r="O108" s="326">
        <f>Model!O98</f>
        <v>0</v>
      </c>
      <c r="P108" s="325">
        <f>Model!P98</f>
        <v>0</v>
      </c>
      <c r="Q108" s="325">
        <f>Model!Q98</f>
        <v>0</v>
      </c>
      <c r="R108" s="325">
        <f>Model!R98</f>
        <v>0</v>
      </c>
      <c r="S108" s="325">
        <f>Model!S98</f>
        <v>0</v>
      </c>
      <c r="T108" s="326">
        <f>Model!T98</f>
        <v>0</v>
      </c>
      <c r="U108" s="325">
        <f>Model!U98</f>
        <v>0</v>
      </c>
      <c r="V108" s="325">
        <f>Model!V98</f>
        <v>0</v>
      </c>
      <c r="W108" s="325">
        <f>Model!W98</f>
        <v>0</v>
      </c>
      <c r="X108" s="517">
        <v>0</v>
      </c>
      <c r="Y108" s="326">
        <f>Model!Y98</f>
        <v>0</v>
      </c>
      <c r="Z108" s="517">
        <v>0</v>
      </c>
      <c r="AA108" s="517">
        <v>0</v>
      </c>
      <c r="AB108" s="517">
        <v>0</v>
      </c>
      <c r="AC108" s="517">
        <v>0</v>
      </c>
      <c r="AD108" s="326">
        <f>Model!AD98</f>
        <v>0</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0</v>
      </c>
      <c r="X113" s="327">
        <f>IF(Case_Scenario="Bull",X114,IF(Case_Scenario="Base",X115,IF(Case_Scenario="bear",X116,"N/A")))</f>
        <v>0</v>
      </c>
      <c r="Y113" s="326">
        <f>Model!Y182</f>
        <v>0</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0</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0</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0</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0</v>
      </c>
      <c r="G128" s="377">
        <f>Model!G232</f>
        <v>-0.1673728813559322</v>
      </c>
      <c r="H128" s="377">
        <f>Model!H232</f>
        <v>0.17048346055979646</v>
      </c>
      <c r="I128" s="377">
        <f>Model!I232</f>
        <v>0.11956521739130443</v>
      </c>
      <c r="J128" s="378">
        <f>Model!J232</f>
        <v>0</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0</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0</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0</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t="e">
        <f>AV54</f>
        <v>#NAME?</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t="e">
        <f>D55</f>
        <v>#NAME?</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t="e">
        <f>Z75</f>
        <v>#NAME?</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515</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515</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515</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516</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516</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516</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TEXT(Last_FYE,"yyyy")&amp;"A"&amp;" Leverage Analysis"</f>
        <v>2025A Leverage Analysis</v>
      </c>
      <c r="N23" s="66"/>
      <c r="O23" s="66"/>
      <c r="P23" s="538" t="str">
        <f>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TEXT(Last_FYE,"yyyy")&amp;"A"&amp;" Leverage Analysis"</f>
        <v>2025A Leverage Analysis</v>
      </c>
      <c r="AJ23" s="66"/>
      <c r="AK23" s="66"/>
      <c r="AL23" s="538" t="str">
        <f>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TEXT(Last_FYE,"yyyy")&amp;"A"&amp;" Leverage Analysis"</f>
        <v>2025A Leverage Analysis</v>
      </c>
      <c r="BF23" s="66"/>
      <c r="BG23" s="66"/>
      <c r="BH23" s="538" t="str">
        <f>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t="e">
        <f t="shared" ref="Z30:Z34" si="16">Z53</f>
        <v>#NAME?</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t="e">
        <f t="shared" ref="AV30:AV34" si="17">AV53</f>
        <v>#NAME?</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t="e">
        <f>D54</f>
        <v>#NAME?</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t="e">
        <f>Z54</f>
        <v>#NAME?</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t="e">
        <f>AV54</f>
        <v>#NAME?</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t="e">
        <f>D55</f>
        <v>#NAME?</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t="e">
        <f>Z55</f>
        <v>#NAME?</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t="e">
        <f>AV55</f>
        <v>#NAME?</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t="e">
        <f>D56</f>
        <v>#NAME?</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t="e">
        <f>Z56</f>
        <v>#NAME?</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t="e">
        <f>AV56</f>
        <v>#NAME?</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t="e">
        <f>D57</f>
        <v>#NAME?</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t="e">
        <f>Z57</f>
        <v>#NAME?</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t="e">
        <f>AV57</f>
        <v>#NAME?</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0</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0</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0</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538</v>
      </c>
      <c r="V68" s="538" t="s">
        <v>539</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0</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0</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0</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0</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0</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0</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Company_Name</f>
        <v>Lowe's Companies, Inc.</v>
      </c>
      <c r="F88" s="16"/>
      <c r="G88" s="190" t="s">
        <v>554</v>
      </c>
      <c r="H88" s="132"/>
      <c r="I88" s="132" t="str">
        <f>Company_Name</f>
        <v>Lowe's Companies, Inc.</v>
      </c>
      <c r="J88" s="283"/>
      <c r="K88" s="16"/>
      <c r="L88" s="190" t="s">
        <v>554</v>
      </c>
      <c r="M88" s="132"/>
      <c r="N88" s="132" t="str">
        <f>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Ticker</f>
        <v>LOW</v>
      </c>
      <c r="F89" s="16"/>
      <c r="G89" s="188" t="s">
        <v>557</v>
      </c>
      <c r="H89" s="16"/>
      <c r="I89" s="16" t="str">
        <f>Ticker</f>
        <v>LOW</v>
      </c>
      <c r="J89" s="189"/>
      <c r="K89" s="16"/>
      <c r="L89" s="188" t="s">
        <v>557</v>
      </c>
      <c r="M89" s="16"/>
      <c r="N89" s="16" t="str">
        <f>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$E$90</f>
        <v>IQ180871</v>
      </c>
      <c r="J90" s="643"/>
      <c r="K90" s="16"/>
      <c r="L90" s="192" t="s">
        <v>560</v>
      </c>
      <c r="M90" s="131"/>
      <c r="N90" s="131" t="str">
        <f>$E$90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597</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610</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567</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567</v>
      </c>
      <c r="L14" s="16" t="s">
        <v>611</v>
      </c>
      <c r="M14" s="16" t="s">
        <v>612</v>
      </c>
      <c r="N14" s="16" t="s">
        <v>613</v>
      </c>
      <c r="O14" s="647" t="s">
        <v>614</v>
      </c>
      <c r="P14" s="647" t="e">
        <f>_xll.ciqfunctions.udf.CIQRANGEA($B14,"IQ_COMPANY_ID_QUICK_MATCH",1,5,,,,,,,"ID")</f>
        <v>#NAME?</v>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619</v>
      </c>
      <c r="L15" s="16" t="s">
        <v>620</v>
      </c>
      <c r="M15" s="16" t="s">
        <v>621</v>
      </c>
      <c r="N15" s="16" t="s">
        <v>622</v>
      </c>
      <c r="O15" s="647" t="s">
        <v>619</v>
      </c>
      <c r="P15" s="647" t="e">
        <f>_xll.ciqfunctions.udf.CIQRANGEA($B15,"IQ_COMPANY_ID_QUICK_MATCH",1,5,,,,,,,"ID")</f>
        <v>#NAME?</v>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619</v>
      </c>
      <c r="L16" s="16" t="s">
        <v>620</v>
      </c>
      <c r="M16" s="16" t="s">
        <v>621</v>
      </c>
      <c r="N16" s="16" t="s">
        <v>622</v>
      </c>
      <c r="O16" s="647" t="s">
        <v>619</v>
      </c>
      <c r="P16" s="647" t="e">
        <f>_xll.ciqfunctions.udf.CIQRANGEA($B16,"IQ_COMPANY_ID_QUICK_MATCH",1,5,,,,,,,"ID")</f>
        <v>#NAME?</v>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565</v>
      </c>
      <c r="L17" s="16" t="s">
        <v>628</v>
      </c>
      <c r="M17" s="16" t="s">
        <v>627</v>
      </c>
      <c r="N17" s="16" t="s">
        <v>629</v>
      </c>
      <c r="O17" s="647" t="s">
        <v>630</v>
      </c>
      <c r="P17" s="647" t="e">
        <f>_xll.ciqfunctions.udf.CIQRANGEA($B17,"IQ_COMPANY_ID_QUICK_MATCH",1,5,,,,,,,"ID")</f>
        <v>#NAME?</v>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635</v>
      </c>
      <c r="L18" s="16" t="s">
        <v>636</v>
      </c>
      <c r="M18" s="16" t="s">
        <v>637</v>
      </c>
      <c r="N18" s="16" t="s">
        <v>638</v>
      </c>
      <c r="O18" s="647"/>
      <c r="P18" s="647" t="e">
        <f>_xll.ciqfunctions.udf.CIQRANGEA($B18,"IQ_COMPANY_ID_QUICK_MATCH",1,5,,,,,,,"ID")</f>
        <v>#NAME?</v>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642</v>
      </c>
      <c r="L19" s="16" t="s">
        <v>643</v>
      </c>
      <c r="M19" s="16" t="s">
        <v>644</v>
      </c>
      <c r="N19" s="16" t="s">
        <v>645</v>
      </c>
      <c r="O19" s="647" t="s">
        <v>646</v>
      </c>
      <c r="P19" s="647" t="e">
        <f>_xll.ciqfunctions.udf.CIQRANGEA($B19,"IQ_COMPANY_ID_QUICK_MATCH",1,5,,,,,,,"ID")</f>
        <v>#NAME?</v>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651</v>
      </c>
      <c r="L20" s="16" t="s">
        <v>572</v>
      </c>
      <c r="M20" s="16" t="s">
        <v>652</v>
      </c>
      <c r="N20" s="16" t="s">
        <v>653</v>
      </c>
      <c r="O20" s="647" t="s">
        <v>651</v>
      </c>
      <c r="P20" s="647" t="e">
        <f>_xll.ciqfunctions.udf.CIQRANGEA($B20,"IQ_COMPANY_ID_QUICK_MATCH",1,5,,,,,,,"ID")</f>
        <v>#NAME?</v>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660</v>
      </c>
      <c r="L21" s="16" t="s">
        <v>661</v>
      </c>
      <c r="M21" s="16" t="s">
        <v>662</v>
      </c>
      <c r="N21" s="16" t="s">
        <v>663</v>
      </c>
      <c r="O21" s="647" t="s">
        <v>664</v>
      </c>
      <c r="P21" s="647" t="e">
        <f>_xll.ciqfunctions.udf.CIQRANGEA($B21,"IQ_COMPANY_ID_QUICK_MATCH",1,5,,,,,,,"ID")</f>
        <v>#NAME?</v>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671</v>
      </c>
      <c r="L22" s="16" t="s">
        <v>672</v>
      </c>
      <c r="M22" s="16" t="s">
        <v>673</v>
      </c>
      <c r="N22" s="16" t="s">
        <v>674</v>
      </c>
      <c r="O22" s="647" t="s">
        <v>675</v>
      </c>
      <c r="P22" s="647" t="e">
        <f>_xll.ciqfunctions.udf.CIQRANGEA($B22,"IQ_COMPANY_ID_QUICK_MATCH",1,5,,,,,,,"ID")</f>
        <v>#NAME?</v>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682</v>
      </c>
      <c r="L23" s="16" t="s">
        <v>683</v>
      </c>
      <c r="M23" s="16" t="s">
        <v>684</v>
      </c>
      <c r="N23" s="16" t="s">
        <v>685</v>
      </c>
      <c r="O23" s="647" t="s">
        <v>686</v>
      </c>
      <c r="P23" s="647" t="e">
        <f>_xll.ciqfunctions.udf.CIQRANGEA($B23,"IQ_COMPANY_ID_QUICK_MATCH",1,5,,,,,,,"ID")</f>
        <v>#NAME?</v>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693</v>
      </c>
      <c r="L24" s="16" t="s">
        <v>694</v>
      </c>
      <c r="M24" s="16" t="s">
        <v>695</v>
      </c>
      <c r="N24" s="16" t="s">
        <v>696</v>
      </c>
      <c r="O24" s="647" t="s">
        <v>697</v>
      </c>
      <c r="P24" s="647" t="e">
        <f>_xll.ciqfunctions.udf.CIQRANGEA($B24,"IQ_COMPANY_ID_QUICK_MATCH",1,5,,,,,,,"ID")</f>
        <v>#NAME?</v>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703</v>
      </c>
      <c r="L25" s="16" t="s">
        <v>704</v>
      </c>
      <c r="M25" s="16" t="s">
        <v>705</v>
      </c>
      <c r="N25" s="16" t="s">
        <v>706</v>
      </c>
      <c r="O25" s="647" t="s">
        <v>707</v>
      </c>
      <c r="P25" s="647" t="e">
        <f>_xll.ciqfunctions.udf.CIQRANGEA($B25,"IQ_COMPANY_ID_QUICK_MATCH",1,5,,,,,,,"ID")</f>
        <v>#NAME?</v>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714</v>
      </c>
      <c r="L26" s="16" t="s">
        <v>715</v>
      </c>
      <c r="M26" s="16" t="s">
        <v>716</v>
      </c>
      <c r="N26" s="16" t="s">
        <v>717</v>
      </c>
      <c r="O26" s="647" t="s">
        <v>718</v>
      </c>
      <c r="P26" s="647" t="e">
        <f>_xll.ciqfunctions.udf.CIQRANGEA($B26,"IQ_COMPANY_ID_QUICK_MATCH",1,5,,,,,,,"ID")</f>
        <v>#NAME?</v>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725</v>
      </c>
      <c r="L27" s="16" t="s">
        <v>726</v>
      </c>
      <c r="M27" s="16" t="s">
        <v>727</v>
      </c>
      <c r="N27" s="16" t="s">
        <v>728</v>
      </c>
      <c r="O27" s="647" t="s">
        <v>729</v>
      </c>
      <c r="P27" s="647" t="e">
        <f>_xll.ciqfunctions.udf.CIQRANGEA($B27,"IQ_COMPANY_ID_QUICK_MATCH",1,5,,,,,,,"ID")</f>
        <v>#NAME?</v>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736</v>
      </c>
      <c r="L28" s="16" t="s">
        <v>737</v>
      </c>
      <c r="M28" s="16" t="s">
        <v>738</v>
      </c>
      <c r="N28" s="16" t="s">
        <v>739</v>
      </c>
      <c r="O28" s="647" t="s">
        <v>740</v>
      </c>
      <c r="P28" s="647" t="e">
        <f>_xll.ciqfunctions.udf.CIQRANGEA($B28,"IQ_COMPANY_ID_QUICK_MATCH",1,5,,,,,,,"ID")</f>
        <v>#NAME?</v>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747</v>
      </c>
      <c r="L29" s="16" t="s">
        <v>748</v>
      </c>
      <c r="M29" s="16"/>
      <c r="N29" s="16"/>
      <c r="O29" s="647"/>
      <c r="P29" s="647" t="e">
        <f>_xll.ciqfunctions.udf.CIQRANGEA($B29,"IQ_COMPANY_ID_QUICK_MATCH",1,5,,,,,,,"ID")</f>
        <v>#NAME?</v>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752</v>
      </c>
      <c r="L30" s="16"/>
      <c r="M30" s="16"/>
      <c r="N30" s="16"/>
      <c r="O30" s="647"/>
      <c r="P30" s="647" t="e">
        <f>_xll.ciqfunctions.udf.CIQRANGEA($B30,"IQ_COMPANY_ID_QUICK_MATCH",1,5,,,,,,,"ID")</f>
        <v>#NAME?</v>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M8/$M$9</f>
        <v>0</v>
      </c>
      <c r="O8" s="552">
        <f>Cost_of_Preferred</f>
        <v>0</v>
      </c>
      <c r="P8" s="16"/>
      <c r="Q8" s="16"/>
      <c r="R8" s="16"/>
      <c r="S8" s="16"/>
      <c r="T8" s="16"/>
      <c r="U8" s="16"/>
      <c r="V8" s="16"/>
      <c r="W8" s="16"/>
      <c r="X8" s="16"/>
      <c r="Y8" s="16"/>
      <c r="Z8" s="16"/>
    </row>
    <row r="9" ht="13.5" customHeight="1" spans="1:26" x14ac:dyDescent="0.25">
      <c r="A9" s="17"/>
      <c r="B9" s="16"/>
      <c r="C9" s="16" t="s">
        <v>765</v>
      </c>
      <c r="D9" s="16"/>
      <c r="E9" s="16"/>
      <c r="F9" s="16"/>
      <c r="G9" s="153">
        <f>Tax_Rate</f>
        <v>0.2443665498247371</v>
      </c>
      <c r="H9" s="16"/>
      <c r="I9" s="16"/>
      <c r="J9" s="132" t="s">
        <v>766</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IF(J44="Comps Relevered Beta",G47,G49)</f>
        <v>1.32679</v>
      </c>
      <c r="H24" s="16"/>
      <c r="I24" s="16"/>
      <c r="J24" s="673" t="s">
        <v>776</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783</v>
      </c>
      <c r="K33" s="16"/>
      <c r="L33" s="16"/>
      <c r="M33" s="693">
        <f>G8</f>
        <v>0.0169</v>
      </c>
      <c r="N33" s="667">
        <f>M33-N23</f>
        <v>0</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785</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805</v>
      </c>
      <c r="N10" s="16"/>
      <c r="O10" s="16"/>
      <c r="P10" s="16"/>
      <c r="Q10" s="717">
        <f>$R$76</f>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c>
      <c r="N32" s="329">
        <f>Model!Y61</f>
      </c>
      <c r="O32" s="329">
        <f>Model!AD61</f>
      </c>
      <c r="P32" s="329">
        <f>Model!AE61</f>
      </c>
      <c r="Q32" s="329">
        <f>Model!AF61</f>
      </c>
      <c r="R32" s="329">
        <f>Model!AG61</f>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c>
      <c r="N34" s="414">
        <f>Model!Y44</f>
      </c>
      <c r="O34" s="414">
        <f>Model!AD44</f>
      </c>
      <c r="P34" s="414">
        <f>Model!AE44</f>
      </c>
      <c r="Q34" s="414">
        <f>Model!AF44</f>
      </c>
      <c r="R34" s="414">
        <f>Model!AG44</f>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c>
      <c r="N35" s="282">
        <f>SUM(N33:N34)</f>
      </c>
      <c r="O35" s="282">
        <f>SUM(O33:O34)</f>
      </c>
      <c r="P35" s="282">
        <f>SUM(P33:P34)</f>
      </c>
      <c r="Q35" s="282">
        <f>SUM(Q33:Q34)</f>
      </c>
      <c r="R35" s="282">
        <f>SUM(R33:R34)</f>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H35/G35-1</f>
        <v>0.6923076923076923</v>
      </c>
      <c r="I36" s="464">
        <f>I35/H35-1</f>
        <v>0.8079243765084474</v>
      </c>
      <c r="J36" s="754"/>
      <c r="K36" s="755"/>
      <c r="L36" s="755"/>
      <c r="M36" s="756"/>
      <c r="N36" s="464">
        <f>N35/I35-1</f>
      </c>
      <c r="O36" s="464">
        <f>O35/N35-1</f>
      </c>
      <c r="P36" s="464">
        <f>P35/O35-1</f>
      </c>
      <c r="Q36" s="464">
        <f>Q35/P35-1</f>
      </c>
      <c r="R36" s="464">
        <f>R35/Q35-1</f>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0</v>
      </c>
      <c r="K41" s="749">
        <f>Model!V40</f>
        <v>0</v>
      </c>
      <c r="L41" s="749">
        <f>Model!W40</f>
        <v>0</v>
      </c>
      <c r="M41" s="750">
        <f>Model!X40</f>
        <v>0</v>
      </c>
      <c r="N41" s="329">
        <f>Model!Y40</f>
        <v>0</v>
      </c>
      <c r="O41" s="329">
        <f>Model!AD40</f>
        <v>0</v>
      </c>
      <c r="P41" s="329">
        <f>Model!AE40</f>
        <v>0</v>
      </c>
      <c r="Q41" s="329">
        <f>Model!AF40</f>
        <v>0</v>
      </c>
      <c r="R41" s="329">
        <f>Model!AG40</f>
        <v>0</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0</v>
      </c>
      <c r="K43" s="749">
        <f>Model!V79</f>
        <v>0</v>
      </c>
      <c r="L43" s="749">
        <f>Model!W79</f>
        <v>0</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SUM(J35:J43)</f>
        <v>3407</v>
      </c>
      <c r="K45" s="758">
        <f>SUM(K35:K43)</f>
        <v>2426</v>
      </c>
      <c r="L45" s="758">
        <f>SUM(L35:L43)</f>
        <v>2148</v>
      </c>
      <c r="M45" s="759">
        <f>SUM(M35:M43)</f>
      </c>
      <c r="N45" s="389">
        <f>SUM(N35:N43)</f>
      </c>
      <c r="O45" s="389">
        <f>SUM(O35:O43)</f>
      </c>
      <c r="P45" s="389">
        <f>SUM(P35:P43)</f>
      </c>
      <c r="Q45" s="389">
        <f>SUM(Q35:Q43)</f>
      </c>
      <c r="R45" s="407">
        <f>SUM(R35:R43)</f>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O45/N45-1</f>
      </c>
      <c r="P46" s="464">
        <f>P45/O45-1</f>
      </c>
      <c r="Q46" s="464">
        <f>Q45/P45-1</f>
      </c>
      <c r="R46" s="464">
        <f>R45/Q45-1</f>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IF(J27=4,0,J45)</f>
        <v>0</v>
      </c>
      <c r="K48" s="758">
        <f>IF(K27=4,0,K45)</f>
      </c>
      <c r="L48" s="758">
        <f>IF(L27=4,0,L45)</f>
        <v>2148</v>
      </c>
      <c r="M48" s="759">
        <f>IF(M27=4,0,M45)</f>
      </c>
      <c r="N48" s="389">
        <f>SUM(J48:M48)</f>
      </c>
      <c r="O48" s="389">
        <f>SUM(O35:O43)</f>
      </c>
      <c r="P48" s="389">
        <f>SUM(P35:P43)</f>
      </c>
      <c r="Q48" s="389">
        <f>SUM(Q35:Q43)</f>
      </c>
      <c r="R48" s="407">
        <f>SUM(R35:R43)</f>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N48*N52</f>
      </c>
      <c r="O54" s="389">
        <f>O48*O52</f>
      </c>
      <c r="P54" s="389">
        <f>P48*P52</f>
      </c>
      <c r="Q54" s="389">
        <f>Q48*Q52</f>
      </c>
      <c r="R54" s="407">
        <f>R48*R52</f>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c>
      <c r="P55" s="464">
        <f>P54/O54-1</f>
      </c>
      <c r="Q55" s="464">
        <f>Q54/P54-1</f>
      </c>
      <c r="R55" s="464">
        <f>R54/Q54-1</f>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R32</f>
      </c>
      <c r="L59" s="16"/>
      <c r="M59" s="16"/>
      <c r="N59" s="188" t="s">
        <v>826</v>
      </c>
      <c r="O59" s="16"/>
      <c r="P59" s="16"/>
      <c r="Q59" s="16"/>
      <c r="R59" s="762">
        <f>R48</f>
      </c>
      <c r="S59" s="16"/>
      <c r="T59" s="16"/>
      <c r="U59" s="16"/>
      <c r="V59" s="16"/>
      <c r="W59" s="189"/>
      <c r="X59" s="16" t="s">
        <v>825</v>
      </c>
      <c r="Y59" s="16"/>
      <c r="Z59" s="16"/>
      <c r="AA59" s="16"/>
      <c r="AB59" s="761">
        <f>R32</f>
      </c>
    </row>
    <row r="60" ht="15" customHeight="1" spans="1:28" x14ac:dyDescent="0.25">
      <c r="A60" s="16"/>
      <c r="B60" s="16"/>
      <c r="C60" s="16"/>
      <c r="D60" s="16"/>
      <c r="E60" s="16"/>
      <c r="F60" s="189"/>
      <c r="G60" s="16" t="s">
        <v>827</v>
      </c>
      <c r="H60" s="16"/>
      <c r="I60" s="16"/>
      <c r="J60" s="16"/>
      <c r="K60" s="763">
        <f>IF(Case_Scenario="Bear",Valuation!J84,IF(Case_Scenario="Base",Valuation!J85,IF(Case_Scenario="Bull",Valuation!J86,"Error")))</f>
        <v>13</v>
      </c>
      <c r="L60" s="16"/>
      <c r="M60" s="16"/>
      <c r="N60" s="188" t="s">
        <v>828</v>
      </c>
      <c r="O60" s="16"/>
      <c r="P60" s="16"/>
      <c r="Q60" s="16"/>
      <c r="R60" s="764">
        <f>G86</f>
        <v>0.02</v>
      </c>
      <c r="S60" s="16"/>
      <c r="T60" s="16"/>
      <c r="U60" s="16"/>
      <c r="V60" s="16"/>
      <c r="W60" s="189"/>
      <c r="X60" s="16" t="s">
        <v>827</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829</v>
      </c>
      <c r="H61" s="16"/>
      <c r="I61" s="16"/>
      <c r="J61" s="16"/>
      <c r="K61" s="765">
        <f>K59*K60</f>
      </c>
      <c r="L61" s="16"/>
      <c r="M61" s="16"/>
      <c r="N61" s="188" t="s">
        <v>829</v>
      </c>
      <c r="O61" s="16"/>
      <c r="P61" s="16"/>
      <c r="Q61" s="16"/>
      <c r="R61" s="765">
        <f>(R59*(1+R60))/(Discount_Rate-R60)</f>
      </c>
      <c r="S61" s="16"/>
      <c r="T61" s="16"/>
      <c r="U61" s="16"/>
      <c r="V61" s="16"/>
      <c r="W61" s="189"/>
      <c r="X61" s="16" t="s">
        <v>829</v>
      </c>
      <c r="Y61" s="16"/>
      <c r="Z61" s="16"/>
      <c r="AA61" s="16"/>
      <c r="AB61" s="765">
        <f>AB59*AB60</f>
      </c>
    </row>
    <row r="62" ht="13.5" customHeight="1" spans="1:28" x14ac:dyDescent="0.25">
      <c r="A62" s="16"/>
      <c r="B62" s="16"/>
      <c r="C62" s="16"/>
      <c r="D62" s="16"/>
      <c r="E62" s="16"/>
      <c r="F62" s="189"/>
      <c r="G62" s="16" t="s">
        <v>830</v>
      </c>
      <c r="H62" s="16"/>
      <c r="I62" s="16"/>
      <c r="J62" s="16"/>
      <c r="K62" s="765">
        <f>K61*R52</f>
      </c>
      <c r="L62" s="16"/>
      <c r="M62" s="16"/>
      <c r="N62" s="188" t="s">
        <v>830</v>
      </c>
      <c r="O62" s="16"/>
      <c r="P62" s="16"/>
      <c r="Q62" s="16"/>
      <c r="R62" s="765">
        <f>R61*R52</f>
      </c>
      <c r="S62" s="16"/>
      <c r="T62" s="16"/>
      <c r="U62" s="16"/>
      <c r="V62" s="16"/>
      <c r="W62" s="189"/>
      <c r="X62" s="16" t="s">
        <v>830</v>
      </c>
      <c r="Y62" s="16"/>
      <c r="Z62" s="16"/>
      <c r="AA62" s="16"/>
      <c r="AB62" s="765">
        <f>AB61*R52</f>
      </c>
    </row>
    <row r="63" ht="13.5" customHeight="1" spans="1:28" x14ac:dyDescent="0.25">
      <c r="A63" s="16"/>
      <c r="B63" s="16"/>
      <c r="C63" s="16"/>
      <c r="D63" s="16"/>
      <c r="E63" s="16"/>
      <c r="F63" s="189"/>
      <c r="G63" s="16" t="s">
        <v>831</v>
      </c>
      <c r="H63" s="16"/>
      <c r="I63" s="16"/>
      <c r="J63" s="16"/>
      <c r="K63" s="765">
        <f>SUM(N54:R54)</f>
      </c>
      <c r="L63" s="16"/>
      <c r="M63" s="16"/>
      <c r="N63" s="188" t="s">
        <v>831</v>
      </c>
      <c r="O63" s="16"/>
      <c r="P63" s="16"/>
      <c r="Q63" s="16"/>
      <c r="R63" s="765">
        <f>SUM(N54:R54)</f>
      </c>
      <c r="S63" s="16"/>
      <c r="T63" s="16"/>
      <c r="U63" s="16"/>
      <c r="V63" s="16"/>
      <c r="W63" s="189"/>
      <c r="X63" s="16" t="s">
        <v>831</v>
      </c>
      <c r="Y63" s="16"/>
      <c r="Z63" s="16"/>
      <c r="AA63" s="16"/>
      <c r="AB63" s="765">
        <f>SUM(N54:R54)</f>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c>
      <c r="L65" s="16"/>
      <c r="M65" s="16"/>
      <c r="N65" s="190" t="s">
        <v>13</v>
      </c>
      <c r="O65" s="132"/>
      <c r="P65" s="132"/>
      <c r="Q65" s="132"/>
      <c r="R65" s="766">
        <f>R62+R63</f>
      </c>
      <c r="S65" s="16"/>
      <c r="T65" s="16"/>
      <c r="U65" s="16"/>
      <c r="V65" s="16"/>
      <c r="W65" s="189"/>
      <c r="X65" s="132" t="s">
        <v>13</v>
      </c>
      <c r="Y65" s="132"/>
      <c r="Z65" s="132"/>
      <c r="AA65" s="132"/>
      <c r="AB65" s="766">
        <f>AB62+AB63</f>
      </c>
    </row>
    <row r="66" ht="13.5" customHeight="1" spans="1:28" x14ac:dyDescent="0.25">
      <c r="A66" s="16"/>
      <c r="B66" s="16"/>
      <c r="C66" s="16"/>
      <c r="D66" s="16"/>
      <c r="E66" s="16"/>
      <c r="F66" s="189"/>
      <c r="G66" s="16" t="s">
        <v>832</v>
      </c>
      <c r="H66" s="16"/>
      <c r="I66" s="16"/>
      <c r="J66" s="16"/>
      <c r="K66" s="767">
        <f>IF(Last_FQR="1Q",Model!$U$120,IF(Last_FQR="2Q",Model!$V$120,IF(Last_FQR="3Q",Model!$W$120,Model!$X$120)))</f>
        <v>6255</v>
      </c>
      <c r="L66" s="16"/>
      <c r="M66" s="16"/>
      <c r="N66" s="188" t="s">
        <v>832</v>
      </c>
      <c r="O66" s="16"/>
      <c r="P66" s="16"/>
      <c r="Q66" s="16"/>
      <c r="R66" s="765">
        <f t="shared" ref="R66:R71" si="17">K66</f>
        <v>6255</v>
      </c>
      <c r="S66" s="16"/>
      <c r="T66" s="16"/>
      <c r="U66" s="16"/>
      <c r="V66" s="16"/>
      <c r="W66" s="189"/>
      <c r="X66" s="16" t="s">
        <v>832</v>
      </c>
      <c r="Y66" s="16"/>
      <c r="Z66" s="16"/>
      <c r="AA66" s="16"/>
      <c r="AB66" s="767">
        <f>Model!$V$120</f>
        <v>6255</v>
      </c>
    </row>
    <row r="67" ht="13.5" customHeight="1" spans="1:28" x14ac:dyDescent="0.25">
      <c r="A67" s="16"/>
      <c r="B67" s="16"/>
      <c r="C67" s="16"/>
      <c r="D67" s="16"/>
      <c r="E67" s="16"/>
      <c r="F67" s="189"/>
      <c r="G67" s="16" t="s">
        <v>833</v>
      </c>
      <c r="H67" s="16"/>
      <c r="I67" s="16"/>
      <c r="J67" s="16"/>
      <c r="K67" s="767">
        <f>WACC!$M$8</f>
        <v>0</v>
      </c>
      <c r="L67" s="16"/>
      <c r="M67" s="16"/>
      <c r="N67" s="188" t="s">
        <v>833</v>
      </c>
      <c r="O67" s="16"/>
      <c r="P67" s="16"/>
      <c r="Q67" s="16"/>
      <c r="R67" s="765">
        <f>K67</f>
      </c>
      <c r="S67" s="16"/>
      <c r="T67" s="16"/>
      <c r="U67" s="16"/>
      <c r="V67" s="16"/>
      <c r="W67" s="189"/>
      <c r="X67" s="16" t="s">
        <v>833</v>
      </c>
      <c r="Y67" s="16"/>
      <c r="Z67" s="16"/>
      <c r="AA67" s="16"/>
      <c r="AB67" s="767">
        <f>WACC!$M$8</f>
        <v>0</v>
      </c>
    </row>
    <row r="68" ht="13.5" customHeight="1" spans="1:28" x14ac:dyDescent="0.25">
      <c r="A68" s="16"/>
      <c r="B68" s="16"/>
      <c r="C68" s="16"/>
      <c r="D68" s="16"/>
      <c r="E68" s="16"/>
      <c r="F68" s="189"/>
      <c r="G68" s="16" t="s">
        <v>834</v>
      </c>
      <c r="H68" s="16"/>
      <c r="I68" s="16"/>
      <c r="J68" s="16"/>
      <c r="K68" s="767">
        <f>-IF(Last_FQR="1Q",Model!$U$139+Model!$U$140,IF(Last_FQR="2Q",Model!$V$139+Model!$V$140,IF(Last_FQR="3Q",Model!$W$139+Model!$W$140,Model!$X$139+Model!$X$140)))</f>
        <v>-23311</v>
      </c>
      <c r="L68" s="16"/>
      <c r="M68" s="16"/>
      <c r="N68" s="188" t="s">
        <v>834</v>
      </c>
      <c r="O68" s="16"/>
      <c r="P68" s="16"/>
      <c r="Q68" s="16"/>
      <c r="R68" s="765">
        <f>K68</f>
        <v>-23311</v>
      </c>
      <c r="S68" s="16"/>
      <c r="T68" s="16"/>
      <c r="U68" s="16"/>
      <c r="V68" s="16"/>
      <c r="W68" s="189"/>
      <c r="X68" s="16" t="s">
        <v>834</v>
      </c>
      <c r="Y68" s="16"/>
      <c r="Z68" s="16"/>
      <c r="AA68" s="16"/>
      <c r="AB68" s="767">
        <f>-(Model!$V$139+Model!$V$140)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K69</f>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-IF(Last_FQR="1Q",Model!$U$153,IF(Last_FQR="2Q",Model!$V$153,IF(Last_FQR="3Q",Model!$W$153,Model!$X$153)))</f>
        <v>0</v>
      </c>
      <c r="L70" s="16"/>
      <c r="M70" s="16"/>
      <c r="N70" s="188" t="s">
        <v>836</v>
      </c>
      <c r="O70" s="16"/>
      <c r="P70" s="16"/>
      <c r="Q70" s="16"/>
      <c r="R70" s="765">
        <f>K70</f>
      </c>
      <c r="S70" s="16"/>
      <c r="T70" s="16"/>
      <c r="U70" s="16"/>
      <c r="V70" s="16"/>
      <c r="W70" s="189"/>
      <c r="X70" s="16" t="s">
        <v>836</v>
      </c>
      <c r="Y70" s="16"/>
      <c r="Z70" s="16"/>
      <c r="AA70" s="16"/>
      <c r="AB70" s="767">
        <f>-Model!$V$153</f>
        <v>0</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K71</f>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SUM(K65:K71)</f>
      </c>
      <c r="L72" s="16"/>
      <c r="M72" s="16"/>
      <c r="N72" s="190" t="s">
        <v>16</v>
      </c>
      <c r="O72" s="132"/>
      <c r="P72" s="132"/>
      <c r="Q72" s="132"/>
      <c r="R72" s="766">
        <f>SUM(R65:R71)</f>
      </c>
      <c r="S72" s="16"/>
      <c r="T72" s="16"/>
      <c r="U72" s="16"/>
      <c r="V72" s="16"/>
      <c r="W72" s="189"/>
      <c r="X72" s="132" t="s">
        <v>16</v>
      </c>
      <c r="Y72" s="132"/>
      <c r="Z72" s="132"/>
      <c r="AA72" s="132"/>
      <c r="AB72" s="766">
        <f>SUM(AB65:AB71)</f>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Diluted_Shares</f>
        <v>707</v>
      </c>
      <c r="L74" s="16"/>
      <c r="M74" s="16"/>
      <c r="N74" s="188" t="s">
        <v>838</v>
      </c>
      <c r="O74" s="16"/>
      <c r="P74" s="16"/>
      <c r="Q74" s="16"/>
      <c r="R74" s="770">
        <f>K74</f>
        <v>707</v>
      </c>
      <c r="S74" s="16"/>
      <c r="T74" s="16"/>
      <c r="U74" s="16"/>
      <c r="V74" s="16"/>
      <c r="W74" s="189"/>
      <c r="X74" s="16" t="s">
        <v>838</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c>
      <c r="L76" s="16"/>
      <c r="M76" s="16"/>
      <c r="N76" s="190" t="s">
        <v>18</v>
      </c>
      <c r="O76" s="132"/>
      <c r="P76" s="132"/>
      <c r="Q76" s="132"/>
      <c r="R76" s="771">
        <f>R72/R74</f>
      </c>
      <c r="S76" s="16"/>
      <c r="T76" s="16"/>
      <c r="U76" s="16"/>
      <c r="V76" s="16"/>
      <c r="W76" s="189"/>
      <c r="X76" s="132" t="s">
        <v>18</v>
      </c>
      <c r="Y76" s="132"/>
      <c r="Z76" s="132"/>
      <c r="AA76" s="132"/>
      <c r="AB76" s="771">
        <f>AB72/AB74</f>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R61/K59</f>
      </c>
      <c r="L79" s="16"/>
      <c r="M79" s="16"/>
      <c r="N79" s="16" t="s">
        <v>840</v>
      </c>
      <c r="O79" s="16"/>
      <c r="P79" s="16"/>
      <c r="Q79" s="16"/>
      <c r="R79" s="775">
        <f>(K61*Discount_Rate-R59)/(R59+K61)</f>
      </c>
      <c r="S79" s="16"/>
      <c r="T79" s="16"/>
      <c r="U79" s="16"/>
      <c r="V79" s="16"/>
      <c r="W79" s="16"/>
      <c r="X79" s="16" t="s">
        <v>839</v>
      </c>
      <c r="Y79" s="16"/>
      <c r="Z79" s="16"/>
      <c r="AA79" s="16"/>
      <c r="AB79" s="774">
        <f>R61/AB59</f>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J85</f>
        <v>13</v>
      </c>
      <c r="F92" s="667">
        <f>E92-H98</f>
        <v>0</v>
      </c>
      <c r="G92" s="16"/>
      <c r="H92" s="16" t="s">
        <v>847</v>
      </c>
      <c r="I92" s="16"/>
      <c r="J92" s="781">
        <f>G86</f>
        <v>0.02</v>
      </c>
      <c r="K92" s="667">
        <f>J92-H106</f>
        <v>0</v>
      </c>
      <c r="L92" s="16"/>
      <c r="M92" s="16" t="s">
        <v>848</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c>
      <c r="F98" s="786">
        <f t="shared" ref="F98:G98" si="18">G98-$E$93</f>
        <v>11</v>
      </c>
      <c r="G98" s="786">
        <f>H98-$E$93</f>
        <v>12</v>
      </c>
      <c r="H98" s="787">
        <v>13</v>
      </c>
      <c r="I98" s="786">
        <f t="shared" ref="I98:J98" si="19">H98+$E$93</f>
        <v>14</v>
      </c>
      <c r="J98" s="786">
        <f>I98+$E$93</f>
        <v>15</v>
      </c>
      <c r="K98" s="16"/>
      <c r="L98" s="16"/>
      <c r="M98" s="788">
        <f>$H$73</f>
        <v>0</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c>
      <c r="F106" s="670">
        <f t="shared" ref="F106:G106" si="25">G106-$J$93</f>
        <v>0.009999999999999998</v>
      </c>
      <c r="G106" s="670">
        <f>H106-$J$93</f>
        <v>0.015</v>
      </c>
      <c r="H106" s="806">
        <v>0.02</v>
      </c>
      <c r="I106" s="670">
        <f t="shared" ref="I106:J106" si="26">H106+$J$93</f>
        <v>0.025</v>
      </c>
      <c r="J106" s="670">
        <f>I106+$J$93</f>
        <v>0.030000000000000002</v>
      </c>
      <c r="K106" s="16"/>
      <c r="L106" s="16"/>
      <c r="M106" s="788">
        <f>$O$73</f>
        <v>0</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$D$11</f>
        <v>18.6398</v>
      </c>
      <c r="G118" s="16"/>
      <c r="H118" s="188" t="s">
        <v>860</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$D$12</f>
        <v>12.4849</v>
      </c>
      <c r="O118" s="189"/>
      <c r="P118" s="188" t="s">
        <v>860</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IF(G143="1 Year",J144,IF(G143="2 Year",J145,IF(G143="3 Year",J146,IF(G143="5 Year",J147,"N/A"))))</f>
        <v>21.62764142857142</v>
      </c>
      <c r="K119" s="16"/>
      <c r="L119" s="188" t="s">
        <v>861</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F118/F119-1</f>
        <v>-0.0063380139569576555</v>
      </c>
      <c r="G120" s="16"/>
      <c r="H120" s="307" t="s">
        <v>864</v>
      </c>
      <c r="I120" s="303"/>
      <c r="J120" s="810">
        <f>J118/J119-1</f>
        <v>-0.13265193899684824</v>
      </c>
      <c r="K120" s="16"/>
      <c r="L120" s="307" t="s">
        <v>863</v>
      </c>
      <c r="M120" s="303"/>
      <c r="N120" s="809">
        <f>N118/N119-1</f>
        <v>0.003621426303372033</v>
      </c>
      <c r="O120" s="189"/>
      <c r="P120" s="188" t="s">
        <v>864</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IF($G$145=$K$220,$E$11,IF($G$145=$M$220,$E$16,IF($G$145=$O$220,$E$21,"N/A")))</f>
        <v>22.233219999999996</v>
      </c>
      <c r="K121" s="16"/>
      <c r="L121" s="307" t="s">
        <v>865</v>
      </c>
      <c r="M121" s="303"/>
      <c r="N121" s="811">
        <v>0</v>
      </c>
      <c r="O121" s="189"/>
      <c r="P121" s="188" t="s">
        <v>866</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F119*(1+F121)</f>
        <v>18.758692857142854</v>
      </c>
      <c r="G123" s="16"/>
      <c r="H123" s="188" t="s">
        <v>867</v>
      </c>
      <c r="I123" s="16"/>
      <c r="J123" s="808">
        <f>J121*(1+J120)</f>
        <v>19.28394025685649</v>
      </c>
      <c r="K123" s="16"/>
      <c r="L123" s="188" t="s">
        <v>867</v>
      </c>
      <c r="M123" s="16"/>
      <c r="N123" s="808">
        <f>N119*(1+N121)</f>
        <v>12.439849999999998</v>
      </c>
      <c r="O123" s="189"/>
      <c r="P123" s="188" t="s">
        <v>867</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NTM_EPS</f>
      </c>
      <c r="G124" s="16"/>
      <c r="H124" s="188" t="s">
        <v>868</v>
      </c>
      <c r="I124" s="16"/>
      <c r="J124" s="812">
        <f>F124</f>
      </c>
      <c r="K124" s="16"/>
      <c r="L124" s="813" t="s">
        <v>869</v>
      </c>
      <c r="M124" s="16"/>
      <c r="N124" s="814">
        <f>NTM_EBITDA</f>
      </c>
      <c r="O124" s="189"/>
      <c r="P124" s="188" t="s">
        <v>869</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N123*N124</f>
      </c>
      <c r="O125" s="189"/>
      <c r="P125" s="188" t="s">
        <v>870</v>
      </c>
      <c r="Q125" s="16"/>
      <c r="R125" s="814">
        <f>R123*R124</f>
      </c>
      <c r="S125" s="16"/>
      <c r="T125" s="16"/>
      <c r="U125" s="16"/>
      <c r="V125" s="16"/>
      <c r="W125" s="16"/>
      <c r="X125" s="16"/>
      <c r="Y125" s="16"/>
      <c r="Z125" s="16"/>
      <c r="AA125" s="16"/>
      <c r="AB125" s="16"/>
    </row>
    <row r="126" ht="13.5" customHeight="1" spans="1:28" x14ac:dyDescent="0.25">
      <c r="A126" s="16"/>
      <c r="B126" s="16"/>
      <c r="C126" s="16"/>
      <c r="D126" s="188" t="s">
        <v>871</v>
      </c>
      <c r="E126" s="16"/>
      <c r="F126" s="814">
        <f>F123*F124</f>
      </c>
      <c r="G126" s="16"/>
      <c r="H126" s="188" t="s">
        <v>871</v>
      </c>
      <c r="I126" s="16"/>
      <c r="J126" s="814">
        <f>J123*J124</f>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F126/Share_Price-1</f>
      </c>
      <c r="G127" s="16"/>
      <c r="H127" s="311" t="s">
        <v>872</v>
      </c>
      <c r="I127" s="131"/>
      <c r="J127" s="773">
        <f>J126/Share_Price-1</f>
      </c>
      <c r="K127" s="16"/>
      <c r="L127" s="188" t="s">
        <v>873</v>
      </c>
      <c r="M127" s="16"/>
      <c r="N127" s="816">
        <f t="shared" ref="N127:N132" si="32">K66</f>
        <v>6255</v>
      </c>
      <c r="O127" s="189"/>
      <c r="P127" s="188" t="s">
        <v>873</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K67</f>
      </c>
      <c r="O128" s="189"/>
      <c r="P128" s="188" t="s">
        <v>874</v>
      </c>
      <c r="Q128" s="16"/>
      <c r="R128" s="765">
        <f>N128</f>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K68</f>
        <v>-23311</v>
      </c>
      <c r="O129" s="189"/>
      <c r="P129" s="188" t="s">
        <v>875</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K69</f>
      </c>
      <c r="O130" s="189"/>
      <c r="P130" s="188" t="s">
        <v>876</v>
      </c>
      <c r="Q130" s="16"/>
      <c r="R130" s="765">
        <f>N130</f>
      </c>
      <c r="S130" s="16"/>
      <c r="T130" s="16"/>
      <c r="U130" s="16"/>
      <c r="V130" s="16"/>
      <c r="W130" s="16"/>
      <c r="X130" s="16"/>
      <c r="Y130" s="16"/>
      <c r="Z130" s="16"/>
      <c r="AA130" s="16"/>
      <c r="AB130" s="16"/>
    </row>
    <row r="131" ht="13.5" customHeight="1" spans="1:28" x14ac:dyDescent="0.25">
      <c r="A131" s="16"/>
      <c r="B131" s="16"/>
      <c r="C131" s="16"/>
      <c r="D131" s="190" t="s">
        <v>868</v>
      </c>
      <c r="E131" s="132"/>
      <c r="F131" s="817">
        <f>IF(Last_FQR="3Q",SUM(Model!X56,Model!Z56:AB56),IF(Last_FQR="2Q",SUM(Model!W56:X56,Model!Z56:AA56),IF(Last_FQR="1Q",SUM(Model!V56:X56,Model!Z56),IF(Last_FQR="4Q",SUM(Model!U56:X56),"Error"))))</f>
      </c>
      <c r="G131" s="16"/>
      <c r="H131" s="16"/>
      <c r="I131" s="16"/>
      <c r="J131" s="16"/>
      <c r="K131" s="16"/>
      <c r="L131" s="188" t="s">
        <v>877</v>
      </c>
      <c r="M131" s="16"/>
      <c r="N131" s="816">
        <f>K70</f>
      </c>
      <c r="O131" s="189"/>
      <c r="P131" s="188" t="s">
        <v>877</v>
      </c>
      <c r="Q131" s="16"/>
      <c r="R131" s="765">
        <f>N131</f>
      </c>
      <c r="S131" s="16"/>
      <c r="T131" s="16"/>
      <c r="U131" s="16"/>
      <c r="V131" s="16"/>
      <c r="W131" s="16"/>
      <c r="X131" s="16"/>
      <c r="Y131" s="16"/>
      <c r="Z131" s="16"/>
      <c r="AA131" s="16"/>
      <c r="AB131" s="16"/>
    </row>
    <row r="132" ht="13.5" customHeight="1" spans="1:28" x14ac:dyDescent="0.25">
      <c r="A132" s="16"/>
      <c r="B132" s="16"/>
      <c r="C132" s="16"/>
      <c r="D132" s="192" t="s">
        <v>869</v>
      </c>
      <c r="E132" s="131"/>
      <c r="F132" s="818">
        <f>IF(Last_FQR="3Q",SUM(Model!X61,Model!Z61:AB61),IF(Last_FQR="2Q",SUM(Model!W61:X61,Model!Z61:AA61),IF(Last_FQR="1Q",SUM(Model!V61:X61,Model!Z61),IF(Last_FQR="4Q",SUM(Model!U61:X61),"Error"))))</f>
      </c>
      <c r="G132" s="16"/>
      <c r="H132" s="16"/>
      <c r="I132" s="16"/>
      <c r="J132" s="16"/>
      <c r="K132" s="16"/>
      <c r="L132" s="188" t="s">
        <v>878</v>
      </c>
      <c r="M132" s="131"/>
      <c r="N132" s="819">
        <f>K71</f>
      </c>
      <c r="O132" s="189"/>
      <c r="P132" s="192" t="s">
        <v>878</v>
      </c>
      <c r="Q132" s="131"/>
      <c r="R132" s="819">
        <f>N132</f>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SUM(N125:N132)</f>
      </c>
      <c r="O134" s="189"/>
      <c r="P134" s="188" t="s">
        <v>879</v>
      </c>
      <c r="Q134" s="16"/>
      <c r="R134" s="814">
        <f>SUM(R125:R132)</f>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N134/N135</f>
      </c>
      <c r="O137" s="189"/>
      <c r="P137" s="188" t="s">
        <v>871</v>
      </c>
      <c r="Q137" s="16"/>
      <c r="R137" s="814">
        <f>R134/R135</f>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N137/Share_Price-1</f>
      </c>
      <c r="O138" s="189"/>
      <c r="P138" s="311" t="s">
        <v>872</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G144=$D$24</f>
        <v>1</v>
      </c>
      <c r="I144" s="84" t="s">
        <v>884</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$F$123</f>
        <v>18.758692857142854</v>
      </c>
      <c r="F151" s="667">
        <f>E151-H161</f>
        <v>0</v>
      </c>
      <c r="G151" s="16"/>
      <c r="H151" s="16" t="s">
        <v>889</v>
      </c>
      <c r="I151" s="16"/>
      <c r="J151" s="16"/>
      <c r="K151" s="774">
        <f>N123</f>
        <v>12.439849999999998</v>
      </c>
      <c r="L151" s="667">
        <f>K151-H177</f>
        <v>0</v>
      </c>
      <c r="M151" s="16"/>
      <c r="N151" s="5" t="s">
        <v>868</v>
      </c>
      <c r="O151" s="16"/>
      <c r="P151" s="16"/>
      <c r="Q151" s="820">
        <f>F124</f>
      </c>
      <c r="R151" s="821">
        <f>Q151-E164</f>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Q151-E172</f>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N124</f>
      </c>
      <c r="R153" s="821">
        <f>Q153-E180</f>
      </c>
      <c r="S153" s="16"/>
      <c r="T153" s="16"/>
      <c r="U153" s="16"/>
      <c r="V153" s="16"/>
      <c r="W153" s="16"/>
      <c r="X153" s="16"/>
      <c r="Y153" s="16"/>
      <c r="Z153" s="16"/>
      <c r="AA153" s="16"/>
      <c r="AB153" s="16"/>
    </row>
    <row r="154" ht="14.25" customHeight="1" spans="1:28" x14ac:dyDescent="0.25">
      <c r="A154" s="16"/>
      <c r="B154" s="16"/>
      <c r="C154" s="16" t="s">
        <v>893</v>
      </c>
      <c r="D154" s="16"/>
      <c r="E154" s="774">
        <f>$J$123</f>
        <v>19.28394025685649</v>
      </c>
      <c r="F154" s="667">
        <f>E154-H169</f>
        <v>0</v>
      </c>
      <c r="G154" s="16"/>
      <c r="H154" s="16" t="s">
        <v>894</v>
      </c>
      <c r="I154" s="16"/>
      <c r="J154" s="16"/>
      <c r="K154" s="774">
        <f>R123</f>
        <v>13.012839604943464</v>
      </c>
      <c r="L154" s="667">
        <f>K154-H185</f>
        <v>0</v>
      </c>
      <c r="M154" s="824"/>
      <c r="N154" s="491" t="s">
        <v>890</v>
      </c>
      <c r="O154" s="825"/>
      <c r="P154" s="16"/>
      <c r="Q154" s="16"/>
      <c r="R154" s="821">
        <f>Q153-E188</f>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0</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0</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0</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0</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$D$11</f>
        <v>18.6398</v>
      </c>
      <c r="G196" s="16"/>
      <c r="H196" s="813" t="s">
        <v>896</v>
      </c>
      <c r="I196" s="16"/>
      <c r="J196" s="808">
        <f t="array" ref="J196">INDEX(Company_Cyclical_Multiples_Data,MATCH(CONCATENATE($G$220," ",$G$221),'Multiples Data'!$C$14:$C$26,0),MATCH(CONCATENATE(Valuation!$G$222," P/E"),'Multiples Data'!$C$14:$H$14,0))</f>
        <v>16.548837499999998</v>
      </c>
      <c r="K196" s="16"/>
      <c r="L196" s="188" t="s">
        <v>859</v>
      </c>
      <c r="M196" s="16"/>
      <c r="N196" s="808">
        <f>$D$12</f>
        <v>12.4849</v>
      </c>
      <c r="O196" s="16"/>
      <c r="P196" s="813" t="s">
        <v>896</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INDEX(Company_Cyclical_Multiples_Data,MATCH(CONCATENATE($G$220," ",$G$221),'Multiples Data'!$C$14:$C$26,0),MATCH(CONCATENATE(Valuation!$G$222," P/E"),'Multiples Data'!$C$14:$H$14,0))</f>
        <v>16.548837499999998</v>
      </c>
      <c r="G197" s="16"/>
      <c r="H197" s="813" t="s">
        <v>898</v>
      </c>
      <c r="I197" s="16"/>
      <c r="J197" s="808">
        <f t="array" ref="J197">INDEX($J$220:$O$222,2,MATCH($G$223,$J$220:$O$220,0))</f>
        <v>17.335633750000007</v>
      </c>
      <c r="K197" s="16"/>
      <c r="L197" s="188" t="s">
        <v>897</v>
      </c>
      <c r="M197" s="16"/>
      <c r="N197" s="808">
        <f t="array" ref="N197">INDEX(Company_Cyclical_Multiples_Data,MATCH(CONCATENATE($G$220," ",$G$221),'Multiples Data'!$C$14:$C$26,0),MATCH(CONCATENATE(Valuation!$G$222," EV/EBITDA"),'Multiples Data'!$C$14:$H$14,0))</f>
        <v>7.408287499999999</v>
      </c>
      <c r="O197" s="16"/>
      <c r="P197" s="813" t="s">
        <v>898</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F196/F197-1</f>
        <v>0.12635102012452548</v>
      </c>
      <c r="G198" s="16"/>
      <c r="H198" s="307" t="s">
        <v>864</v>
      </c>
      <c r="I198" s="16"/>
      <c r="J198" s="810">
        <f>J196/J197-1</f>
        <v>-0.04538606787305999</v>
      </c>
      <c r="K198" s="16"/>
      <c r="L198" s="307" t="s">
        <v>863</v>
      </c>
      <c r="M198" s="303"/>
      <c r="N198" s="809">
        <f>N196/N197-1</f>
        <v>0.6852612698953706</v>
      </c>
      <c r="O198" s="16"/>
      <c r="P198" s="307" t="s">
        <v>864</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IF($G$223=$K$220,$E$11,IF($G$223=$M$220,$E$16,IF($G$223=$O$220,$E$21,"N/A")))</f>
        <v>22.233219999999996</v>
      </c>
      <c r="K199" s="16"/>
      <c r="L199" s="307" t="s">
        <v>865</v>
      </c>
      <c r="M199" s="303"/>
      <c r="N199" s="811">
        <v>0</v>
      </c>
      <c r="O199" s="16"/>
      <c r="P199" s="188" t="s">
        <v>866</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F197*(1+F199)</f>
        <v>16.548837499999998</v>
      </c>
      <c r="G201" s="16"/>
      <c r="H201" s="188" t="s">
        <v>867</v>
      </c>
      <c r="I201" s="16"/>
      <c r="J201" s="808">
        <f>J199*(1+J198)</f>
        <v>21.224141568043322</v>
      </c>
      <c r="K201" s="16"/>
      <c r="L201" s="188" t="s">
        <v>867</v>
      </c>
      <c r="M201" s="16"/>
      <c r="N201" s="808">
        <f>N197*(1+N199)</f>
        <v>7.408287499999999</v>
      </c>
      <c r="O201" s="16"/>
      <c r="P201" s="188" t="s">
        <v>867</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SUM(NTM_EPS)</f>
      </c>
      <c r="G202" s="16"/>
      <c r="H202" s="188" t="s">
        <v>868</v>
      </c>
      <c r="I202" s="16"/>
      <c r="J202" s="812">
        <f>SUM(NTM_EPS)</f>
      </c>
      <c r="K202" s="16"/>
      <c r="L202" s="813" t="s">
        <v>869</v>
      </c>
      <c r="M202" s="16"/>
      <c r="N202" s="814">
        <f>SUM(NTM_EBITDA)</f>
      </c>
      <c r="O202" s="16"/>
      <c r="P202" s="188" t="s">
        <v>869</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N201*N202</f>
      </c>
      <c r="O203" s="16"/>
      <c r="P203" s="188" t="s">
        <v>870</v>
      </c>
      <c r="Q203" s="16"/>
      <c r="R203" s="814">
        <f>R201*R202</f>
      </c>
      <c r="S203" s="188"/>
      <c r="T203" s="16"/>
      <c r="U203" s="16"/>
      <c r="V203" s="16"/>
      <c r="W203" s="16"/>
      <c r="X203" s="16"/>
      <c r="Y203" s="16"/>
      <c r="Z203" s="16"/>
      <c r="AA203" s="16"/>
      <c r="AB203" s="16"/>
    </row>
    <row r="204" ht="13.5" customHeight="1" spans="1:28" x14ac:dyDescent="0.25">
      <c r="A204" s="16"/>
      <c r="B204" s="16"/>
      <c r="C204" s="16"/>
      <c r="D204" s="188" t="s">
        <v>871</v>
      </c>
      <c r="E204" s="16"/>
      <c r="F204" s="812">
        <f>F201*F202</f>
      </c>
      <c r="G204" s="16"/>
      <c r="H204" s="188" t="s">
        <v>871</v>
      </c>
      <c r="I204" s="16"/>
      <c r="J204" s="812">
        <f>J201*J202</f>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F204/Share_Price-1</f>
      </c>
      <c r="G205" s="16"/>
      <c r="H205" s="311" t="s">
        <v>872</v>
      </c>
      <c r="I205" s="131"/>
      <c r="J205" s="773">
        <f>J204/Share_Price-1</f>
      </c>
      <c r="K205" s="16"/>
      <c r="L205" s="188" t="s">
        <v>873</v>
      </c>
      <c r="M205" s="16"/>
      <c r="N205" s="765">
        <f t="shared" ref="N205:N210" si="58">N127</f>
        <v>6255</v>
      </c>
      <c r="O205" s="16"/>
      <c r="P205" s="188" t="s">
        <v>873</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N128</f>
      </c>
      <c r="O206" s="16"/>
      <c r="P206" s="188" t="s">
        <v>874</v>
      </c>
      <c r="Q206" s="16"/>
      <c r="R206" s="765">
        <f>N206</f>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N129</f>
        <v>-23311</v>
      </c>
      <c r="O207" s="16"/>
      <c r="P207" s="188" t="s">
        <v>875</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N130</f>
      </c>
      <c r="O208" s="16"/>
      <c r="P208" s="188" t="s">
        <v>876</v>
      </c>
      <c r="Q208" s="16"/>
      <c r="R208" s="765">
        <f>N208</f>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N131</f>
      </c>
      <c r="O209" s="16"/>
      <c r="P209" s="188" t="s">
        <v>877</v>
      </c>
      <c r="Q209" s="16"/>
      <c r="R209" s="765">
        <f>N209</f>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N132</f>
      </c>
      <c r="O210" s="16"/>
      <c r="P210" s="192" t="s">
        <v>878</v>
      </c>
      <c r="Q210" s="131"/>
      <c r="R210" s="819">
        <f>N210</f>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SUM(N203:N210)</f>
      </c>
      <c r="O212" s="16"/>
      <c r="P212" s="188" t="s">
        <v>879</v>
      </c>
      <c r="Q212" s="16"/>
      <c r="R212" s="814">
        <f>SUM(R203:R210)</f>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N212/N213</f>
      </c>
      <c r="O215" s="16"/>
      <c r="P215" s="188" t="s">
        <v>871</v>
      </c>
      <c r="Q215" s="16"/>
      <c r="R215" s="814">
        <f>R212/R213</f>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N215/Share_Price-1</f>
      </c>
      <c r="O216" s="16"/>
      <c r="P216" s="311" t="s">
        <v>872</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$F$201</f>
        <v>16.548837499999998</v>
      </c>
      <c r="F227" s="667">
        <f>E227-H237</f>
        <v>0</v>
      </c>
      <c r="G227" s="16"/>
      <c r="H227" s="16" t="s">
        <v>889</v>
      </c>
      <c r="I227" s="16"/>
      <c r="J227" s="16"/>
      <c r="K227" s="774">
        <f>$N$201</f>
        <v>7.408287499999999</v>
      </c>
      <c r="L227" s="667">
        <f>K227-H253</f>
        <v>0</v>
      </c>
      <c r="M227" s="16"/>
      <c r="N227" s="5" t="s">
        <v>868</v>
      </c>
      <c r="O227" s="16"/>
      <c r="P227" s="16"/>
      <c r="Q227" s="820">
        <f>F202</f>
      </c>
      <c r="R227" s="821">
        <f>Q227-E240</f>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Q227-E248</f>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N202</f>
      </c>
      <c r="R229" s="821">
        <f>Q229-E256</f>
      </c>
      <c r="S229" s="16"/>
      <c r="T229" s="16"/>
      <c r="U229" s="16"/>
      <c r="V229" s="16"/>
      <c r="W229" s="16"/>
      <c r="X229" s="16"/>
      <c r="Y229" s="16"/>
      <c r="Z229" s="16"/>
      <c r="AA229" s="16"/>
      <c r="AB229" s="16"/>
    </row>
    <row r="230" ht="13.5" customHeight="1" spans="1:28" x14ac:dyDescent="0.25">
      <c r="A230" s="16"/>
      <c r="B230" s="16"/>
      <c r="C230" s="16" t="s">
        <v>893</v>
      </c>
      <c r="D230" s="16"/>
      <c r="E230" s="774">
        <f>$J$201</f>
        <v>21.224141568043322</v>
      </c>
      <c r="F230" s="667">
        <f>E230-H245</f>
        <v>0</v>
      </c>
      <c r="G230" s="16"/>
      <c r="H230" s="16" t="s">
        <v>894</v>
      </c>
      <c r="I230" s="16"/>
      <c r="J230" s="16"/>
      <c r="K230" s="774">
        <f>$R$201</f>
        <v>12.655598918298834</v>
      </c>
      <c r="L230" s="667">
        <f>K230-H261</f>
        <v>0</v>
      </c>
      <c r="M230" s="16"/>
      <c r="N230" s="491" t="s">
        <v>890</v>
      </c>
      <c r="O230" s="825"/>
      <c r="P230" s="16"/>
      <c r="Q230" s="16"/>
      <c r="R230" s="821">
        <f>Q229-E264</f>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0</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0</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0</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0</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870</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0</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0</v>
      </c>
      <c r="F274" s="16"/>
      <c r="G274" s="690" t="b">
        <f>IF($G291=Comparables!$D$86,Valuation!$E$12,IF(Valuation!$G291=Comparables!$G$86,Valuation!$E$17,IF(Valuation!$G291=Comparables!$L$86,Valuation!$E$22,IF($G291=Company_Name,$D$12))))</f>
        <v>0</v>
      </c>
      <c r="H274" s="548"/>
      <c r="I274" s="833">
        <v>0</v>
      </c>
      <c r="J274" s="548"/>
      <c r="K274" s="548">
        <f>G274+I274</f>
      </c>
      <c r="L274" s="548"/>
      <c r="M274" s="116">
        <f>E274*K274</f>
      </c>
      <c r="N274" s="16"/>
      <c r="O274" s="188" t="s">
        <v>873</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0</v>
      </c>
      <c r="F275" s="16"/>
      <c r="G275" s="690" t="b">
        <f>IF($G292=Comparables!$D$86,Valuation!$E$12,IF(Valuation!$G292=Comparables!$G$86,Valuation!$E$17,IF(Valuation!$G292=Comparables!$L$86,Valuation!$E$22,IF($G292=Company_Name,$D$12))))</f>
        <v>0</v>
      </c>
      <c r="H275" s="548"/>
      <c r="I275" s="833">
        <v>0</v>
      </c>
      <c r="J275" s="548"/>
      <c r="K275" s="548">
        <f>G275+I275</f>
      </c>
      <c r="L275" s="548"/>
      <c r="M275" s="116">
        <f>E275*K275</f>
      </c>
      <c r="N275" s="16"/>
      <c r="O275" s="188" t="s">
        <v>874</v>
      </c>
      <c r="P275" s="16"/>
      <c r="Q275" s="16"/>
      <c r="R275" s="765">
        <f>K67</f>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0</v>
      </c>
      <c r="F276" s="16"/>
      <c r="G276" s="690" t="b">
        <f>IF($G293=Comparables!$D$86,Valuation!$E$12,IF(Valuation!$G293=Comparables!$G$86,Valuation!$E$17,IF(Valuation!$G293=Comparables!$L$86,Valuation!$E$22,IF($G293=Company_Name,$D$12))))</f>
        <v>0</v>
      </c>
      <c r="H276" s="548"/>
      <c r="I276" s="833">
        <v>0</v>
      </c>
      <c r="J276" s="548"/>
      <c r="K276" s="548">
        <f>G276+I276</f>
      </c>
      <c r="L276" s="548"/>
      <c r="M276" s="116">
        <f>E276*K276</f>
      </c>
      <c r="N276" s="16"/>
      <c r="O276" s="188" t="s">
        <v>875</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0</v>
      </c>
      <c r="F277" s="16"/>
      <c r="G277" s="690" t="b">
        <f>IF($G294=Comparables!$D$86,Valuation!$E$12,IF(Valuation!$G294=Comparables!$G$86,Valuation!$E$17,IF(Valuation!$G294=Comparables!$L$86,Valuation!$E$22,IF($G294=Company_Name,$D$12))))</f>
        <v>0</v>
      </c>
      <c r="H277" s="548"/>
      <c r="I277" s="833">
        <v>0</v>
      </c>
      <c r="J277" s="548"/>
      <c r="K277" s="548">
        <f>G277+I277</f>
      </c>
      <c r="L277" s="548"/>
      <c r="M277" s="116">
        <f>E277*K277</f>
      </c>
      <c r="N277" s="16"/>
      <c r="O277" s="188" t="s">
        <v>876</v>
      </c>
      <c r="P277" s="16"/>
      <c r="Q277" s="16"/>
      <c r="R277" s="765">
        <f>K69</f>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K70</f>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K71</f>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914</v>
      </c>
      <c r="AY6" s="843" t="str">
        <f t="shared" ref="AY6:BC6" si="4">AS6</f>
        <v>Raytheon</v>
      </c>
      <c r="AZ6" s="843" t="str">
        <f>AT6</f>
        <v>Boeing</v>
      </c>
      <c r="BA6" s="843" t="str">
        <f>AU6</f>
        <v>Huntington Ingalls</v>
      </c>
      <c r="BB6" s="843" t="str">
        <f>AV6</f>
        <v>Lockheed Martin</v>
      </c>
      <c r="BC6" s="844" t="str">
        <f>AW6</f>
        <v>Northrop Grumman</v>
      </c>
      <c r="BD6" s="843" t="s">
        <v>914</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914</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915</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910</v>
      </c>
      <c r="F8" s="84" t="s">
        <v>911</v>
      </c>
      <c r="G8" s="84" t="s">
        <v>912</v>
      </c>
      <c r="H8" s="84" t="s">
        <v>913</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AVERAGE(BM8:BQ19)</f>
        <v>25.08153198498405</v>
      </c>
      <c r="F86" s="724">
        <f>AVERAGE(BS8:BW19)</f>
        <v>19.390935509155117</v>
      </c>
      <c r="G86" s="724">
        <f>AVERAGE(BY8:CC19)</f>
        <v>9.982036835170295</v>
      </c>
      <c r="H86" s="724" t="e">
        <f>AVERAGE(CE8:CI19)</f>
        <v>#DIV/0!</v>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c>
      <c r="H8" s="855">
        <f>Summary!X28</f>
      </c>
      <c r="I8" s="855">
        <f>Summary!Y28</f>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Summary!T20</f>
        <v>0.03245032183875808</v>
      </c>
      <c r="E9" s="858">
        <f>Summary!U20</f>
        <v>0.059336364140378114</v>
      </c>
      <c r="F9" s="858">
        <f>Summary!V20</f>
        <v>0.06512494837996807</v>
      </c>
      <c r="G9" s="858">
        <f>Summary!W20</f>
      </c>
      <c r="H9" s="858">
        <f>Summary!X20</f>
      </c>
      <c r="I9" s="858">
        <f>Summary!Y20</f>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0"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931</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t="e">
        <f t="shared" ref="E52:I52" si="6">E51/D51-1</f>
        <v>#DIV/0!</v>
      </c>
      <c r="F52" s="861" t="e">
        <f>F51/E51-1</f>
        <v>#DIV/0!</v>
      </c>
      <c r="G52" s="861" t="e">
        <f>G51/F51-1</f>
        <v>#DIV/0!</v>
      </c>
      <c r="H52" s="861" t="e">
        <f>H51/G51-1</f>
        <v>#DIV/0!</v>
      </c>
      <c r="I52" s="861" t="e">
        <f>I51/H51-1</f>
        <v>#DIV/0!</v>
      </c>
      <c r="J52" s="16"/>
      <c r="K52" s="857" t="s">
        <v>931</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10">E71/D71-1</f>
        <v>-0.257436167412477</v>
      </c>
      <c r="F72" s="861">
        <f>F71/E71-1</f>
        <v>1.0258773484579935</v>
      </c>
      <c r="G72" s="861">
        <f>G71/F71-1</f>
      </c>
      <c r="H72" s="861">
        <f>H71/G71-1</f>
      </c>
      <c r="I72" s="861">
        <f>I71/H71-1</f>
      </c>
      <c r="J72" s="16"/>
      <c r="K72" s="857" t="s">
        <v>931</v>
      </c>
      <c r="L72" s="860">
        <v>0</v>
      </c>
      <c r="M72" s="861">
        <f t="shared" ref="M72:Q72" si="11">M71/L71-1</f>
        <v>0.07424668136009549</v>
      </c>
      <c r="N72" s="861">
        <f>N71/M71-1</f>
        <v>0.5906784114554204</v>
      </c>
      <c r="O72" s="861">
        <f>O71/N71-1</f>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'Segment Analysis'!$T$16</f>
        <v>1</v>
      </c>
      <c r="E117" s="867">
        <f>'Segment Analysis'!$T$17</f>
        <v>0</v>
      </c>
      <c r="F117" s="867">
        <f>'Segment Analysis'!$T$20</f>
        <v>0</v>
      </c>
      <c r="G117" s="867">
        <f>'Segment Analysis'!$T$18</f>
        <v>0</v>
      </c>
      <c r="H117" s="867">
        <f>'Segment Analysis'!$T$19</f>
        <v>0</v>
      </c>
      <c r="I117" s="867">
        <f>'Segment Analysis'!$T$21</f>
        <v>0</v>
      </c>
      <c r="J117" s="168" t="s">
        <v>934</v>
      </c>
      <c r="K117" s="868">
        <f>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942</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499</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502</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506</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509</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512</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0</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0</v>
      </c>
      <c r="F126" s="16"/>
      <c r="G126" s="16"/>
      <c r="H126" s="16"/>
      <c r="I126" s="16"/>
      <c r="J126" s="16"/>
      <c r="K126" s="16"/>
      <c r="L126" s="16"/>
      <c r="M126" s="16"/>
      <c r="N126" s="16"/>
      <c r="O126" s="737" t="str">
        <f>INDEX($C$125:$C$129,MATCH(P126,$D$125:$D$129,0),1)</f>
        <v>AAPL</v>
      </c>
      <c r="P126" s="888">
        <f>LARGE($D$125:$D$129,B126)</f>
        <v>0.005920999999999999</v>
      </c>
      <c r="Q126" s="888">
        <f>E126</f>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c>
      <c r="F127" s="16"/>
      <c r="G127" s="16"/>
      <c r="H127" s="16"/>
      <c r="I127" s="16"/>
      <c r="J127" s="16"/>
      <c r="K127" s="16"/>
      <c r="L127" s="16"/>
      <c r="M127" s="16"/>
      <c r="N127" s="16"/>
      <c r="O127" s="737" t="str">
        <f>INDEX($C$125:$C$129,MATCH(P127,$D$125:$D$129,0),1)</f>
        <v>FB</v>
      </c>
      <c r="P127" s="888">
        <f>LARGE($D$125:$D$129,B127)</f>
      </c>
      <c r="Q127" s="888">
        <f>E127</f>
      </c>
      <c r="R127" s="16"/>
      <c r="S127" s="16"/>
      <c r="T127" s="16"/>
      <c r="U127" s="16"/>
      <c r="V127" s="16"/>
      <c r="W127" s="16"/>
      <c r="X127" s="16"/>
      <c r="Y127" s="16"/>
      <c r="Z127" s="16"/>
    </row>
    <row r="128" ht="13.5" customHeight="1" spans="1:26" x14ac:dyDescent="0.25">
      <c r="A128" s="17"/>
      <c r="B128" s="16">
        <f>B127+1</f>
        <v>4</v>
      </c>
      <c r="C128" s="737" t="str">
        <f>C112</f>
        <v>SNAP</v>
      </c>
      <c r="D128" s="887">
        <f>Comparables!I33</f>
        <v>0</v>
      </c>
      <c r="E128" s="888">
        <f>E127</f>
      </c>
      <c r="F128" s="16"/>
      <c r="G128" s="16"/>
      <c r="H128" s="16"/>
      <c r="I128" s="16"/>
      <c r="J128" s="16"/>
      <c r="K128" s="16"/>
      <c r="L128" s="16"/>
      <c r="M128" s="16"/>
      <c r="N128" s="16"/>
      <c r="O128" s="737" t="str">
        <f>INDEX($C$125:$C$129,MATCH(P128,$D$125:$D$129,0),1)</f>
        <v>FB</v>
      </c>
      <c r="P128" s="888">
        <f>LARGE($D$125:$D$129,B128)</f>
      </c>
      <c r="Q128" s="888">
        <f>E128</f>
      </c>
      <c r="R128" s="16"/>
      <c r="S128" s="16"/>
      <c r="T128" s="16"/>
      <c r="U128" s="16"/>
      <c r="V128" s="16"/>
      <c r="W128" s="16"/>
      <c r="X128" s="16"/>
      <c r="Y128" s="16"/>
      <c r="Z128" s="16"/>
    </row>
    <row r="129" ht="13.5" customHeight="1" spans="1:26" x14ac:dyDescent="0.25">
      <c r="A129" s="17"/>
      <c r="B129" s="16">
        <f>B128+1</f>
        <v>5</v>
      </c>
      <c r="C129" s="737" t="str">
        <f>C113</f>
        <v>GOOGL</v>
      </c>
      <c r="D129" s="887">
        <f>Comparables!I34</f>
        <v>0</v>
      </c>
      <c r="E129" s="888">
        <f>E128</f>
      </c>
      <c r="F129" s="16"/>
      <c r="G129" s="16"/>
      <c r="H129" s="16"/>
      <c r="I129" s="16"/>
      <c r="J129" s="16"/>
      <c r="K129" s="16"/>
      <c r="L129" s="16"/>
      <c r="M129" s="16"/>
      <c r="N129" s="16"/>
      <c r="O129" s="737" t="str">
        <f>INDEX($C$125:$C$129,MATCH(P129,$D$125:$D$129,0),1)</f>
        <v>FB</v>
      </c>
      <c r="P129" s="888">
        <f>LARGE($D$125:$D$129,B129)</f>
      </c>
      <c r="Q129" s="888">
        <f>E129</f>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965</v>
      </c>
      <c r="I10" s="111" t="s">
        <v>966</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4">
        <v>0.113</v>
      </c>
      <c r="J16" s="907">
        <f t="shared" ref="J16:K16" si="5">J15/$H$12</f>
        <v>0.1450939505146495</v>
      </c>
      <c r="K16" s="907">
        <f>K15/$H$12</f>
        <v>0.212152249897805</v>
      </c>
      <c r="L16" s="905">
        <f>$H16-I16</f>
      </c>
      <c r="M16" s="906">
        <f>$H16-J16</f>
      </c>
      <c r="N16" s="906">
        <f>$H16-K16</f>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c>
      <c r="I20" s="904">
        <v>0.07</v>
      </c>
      <c r="J20" s="903">
        <f t="shared" ref="J20:K20" si="10">J19/J12</f>
        <v>0.04815124809216681</v>
      </c>
      <c r="K20" s="903">
        <f>K19/K12</f>
        <v>0.10946681175190424</v>
      </c>
      <c r="L20" s="905">
        <f>$H20-I20</f>
      </c>
      <c r="M20" s="906">
        <f>$H20-J20</f>
      </c>
      <c r="N20" s="906">
        <f>$H20-K20</f>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965</v>
      </c>
      <c r="J10" s="111" t="s">
        <v>966</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0</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c>
      <c r="I16" s="907">
        <f>I15/$H$12</f>
      </c>
      <c r="J16" s="904">
        <v>0.113</v>
      </c>
      <c r="K16" s="907">
        <f t="shared" ref="K16:L16" si="6">K15/$H$12</f>
        <v>0.1450939505146495</v>
      </c>
      <c r="L16" s="907">
        <f>L15/$H$12</f>
        <v>0.212152249897805</v>
      </c>
      <c r="M16" s="905">
        <f>$H16-I16</f>
      </c>
      <c r="N16" s="906">
        <f>$H16-J16</f>
      </c>
      <c r="O16" s="906">
        <f>$H16-K16</f>
      </c>
      <c r="P16" s="906">
        <f>$H16-L16</f>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0</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c>
      <c r="I20" s="903">
        <f>I19/I12</f>
      </c>
      <c r="J20" s="904">
        <v>0.07</v>
      </c>
      <c r="K20" s="903">
        <f t="shared" ref="K20:L20" si="12">K19/K12</f>
        <v>0.04815124809216681</v>
      </c>
      <c r="L20" s="903">
        <f>L19/L12</f>
        <v>0.10946681175190424</v>
      </c>
      <c r="M20" s="905">
        <f>$H20-I20</f>
      </c>
      <c r="N20" s="906">
        <f>$H20-J20</f>
      </c>
      <c r="O20" s="906">
        <f>$H20-K20</f>
      </c>
      <c r="P20" s="906">
        <f>$H20-L20</f>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2"/>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row>
    <row r="2" spans="1:17" x14ac:dyDescent="0.25">
      <c r="A2" t="s">
        <v>42</v>
      </c>
      <c r="B2" t="s">
        <v>984</v>
      </c>
      <c r="C2" t="s">
        <v>375</v>
      </c>
      <c r="D2" t="s">
        <v>985</v>
      </c>
      <c r="E2">
        <v>0</v>
      </c>
      <c r="F2" t="s">
        <v>986</v>
      </c>
      <c r="G2" t="s">
        <v>987</v>
      </c>
      <c r="H2" t="s">
        <v>988</v>
      </c>
      <c r="I2" t="s">
        <v>987</v>
      </c>
      <c r="J2" t="s">
        <v>987</v>
      </c>
      <c r="K2" t="b">
        <v>1</v>
      </c>
      <c r="L2" t="b">
        <v>0</v>
      </c>
      <c r="M2" t="s">
        <v>987</v>
      </c>
      <c r="N2" t="s">
        <v>989</v>
      </c>
      <c r="O2" t="s">
        <v>990</v>
      </c>
      <c r="P2" t="s">
        <v>991</v>
      </c>
      <c r="Q2" t="s">
        <v>992</v>
      </c>
    </row>
    <row r="3" spans="1:17" x14ac:dyDescent="0.25">
      <c r="A3" t="s">
        <v>42</v>
      </c>
      <c r="B3" t="s">
        <v>993</v>
      </c>
      <c r="C3" t="s">
        <v>375</v>
      </c>
      <c r="D3" t="s">
        <v>994</v>
      </c>
      <c r="E3">
        <v>0</v>
      </c>
      <c r="F3" t="s">
        <v>986</v>
      </c>
      <c r="G3" t="s">
        <v>987</v>
      </c>
      <c r="H3" t="s">
        <v>988</v>
      </c>
      <c r="I3" t="s">
        <v>987</v>
      </c>
      <c r="J3" t="s">
        <v>987</v>
      </c>
      <c r="K3" t="b">
        <v>1</v>
      </c>
      <c r="L3" t="b">
        <v>0</v>
      </c>
      <c r="M3" t="s">
        <v>987</v>
      </c>
      <c r="N3" t="s">
        <v>989</v>
      </c>
      <c r="O3" t="s">
        <v>990</v>
      </c>
      <c r="P3" t="s">
        <v>991</v>
      </c>
      <c r="Q3" t="s">
        <v>992</v>
      </c>
    </row>
    <row r="4" spans="1:17" x14ac:dyDescent="0.25">
      <c r="A4" t="s">
        <v>42</v>
      </c>
      <c r="B4" t="s">
        <v>995</v>
      </c>
      <c r="C4" t="s">
        <v>375</v>
      </c>
      <c r="D4" t="s">
        <v>996</v>
      </c>
      <c r="E4">
        <v>0</v>
      </c>
      <c r="F4" t="s">
        <v>986</v>
      </c>
      <c r="G4" t="s">
        <v>987</v>
      </c>
      <c r="H4" t="s">
        <v>988</v>
      </c>
      <c r="I4" t="s">
        <v>987</v>
      </c>
      <c r="J4" t="s">
        <v>987</v>
      </c>
      <c r="K4" t="b">
        <v>1</v>
      </c>
      <c r="L4" t="b">
        <v>0</v>
      </c>
      <c r="M4" t="s">
        <v>987</v>
      </c>
      <c r="N4" t="s">
        <v>989</v>
      </c>
      <c r="O4" t="s">
        <v>990</v>
      </c>
      <c r="P4" t="s">
        <v>991</v>
      </c>
      <c r="Q4" t="s">
        <v>992</v>
      </c>
    </row>
    <row r="5" spans="1:17" x14ac:dyDescent="0.25">
      <c r="A5" t="s">
        <v>42</v>
      </c>
      <c r="B5" t="s">
        <v>997</v>
      </c>
      <c r="C5" t="s">
        <v>375</v>
      </c>
      <c r="D5" t="s">
        <v>998</v>
      </c>
      <c r="E5">
        <v>0</v>
      </c>
      <c r="F5" t="s">
        <v>986</v>
      </c>
      <c r="G5" t="s">
        <v>987</v>
      </c>
      <c r="H5" t="s">
        <v>988</v>
      </c>
      <c r="I5" t="s">
        <v>987</v>
      </c>
      <c r="J5" t="s">
        <v>987</v>
      </c>
      <c r="K5" t="b">
        <v>1</v>
      </c>
      <c r="L5" t="b">
        <v>0</v>
      </c>
      <c r="M5" t="s">
        <v>987</v>
      </c>
      <c r="N5" t="s">
        <v>989</v>
      </c>
      <c r="O5" t="s">
        <v>990</v>
      </c>
      <c r="P5" t="s">
        <v>991</v>
      </c>
      <c r="Q5" t="s">
        <v>992</v>
      </c>
    </row>
    <row r="6" spans="1:17" x14ac:dyDescent="0.25">
      <c r="A6" t="s">
        <v>42</v>
      </c>
      <c r="B6" t="s">
        <v>999</v>
      </c>
      <c r="C6" t="s">
        <v>375</v>
      </c>
      <c r="D6" t="s">
        <v>1000</v>
      </c>
      <c r="E6">
        <v>0</v>
      </c>
      <c r="F6" t="s">
        <v>986</v>
      </c>
      <c r="G6" t="s">
        <v>987</v>
      </c>
      <c r="H6" t="s">
        <v>988</v>
      </c>
      <c r="I6" t="s">
        <v>987</v>
      </c>
      <c r="J6" t="s">
        <v>987</v>
      </c>
      <c r="K6" t="b">
        <v>1</v>
      </c>
      <c r="L6" t="b">
        <v>0</v>
      </c>
      <c r="M6" t="s">
        <v>987</v>
      </c>
      <c r="N6" t="s">
        <v>989</v>
      </c>
      <c r="O6" t="s">
        <v>990</v>
      </c>
      <c r="P6" t="s">
        <v>991</v>
      </c>
      <c r="Q6" t="s">
        <v>992</v>
      </c>
    </row>
    <row r="7" spans="1:17" x14ac:dyDescent="0.25">
      <c r="A7" t="s">
        <v>42</v>
      </c>
      <c r="B7" t="s">
        <v>1001</v>
      </c>
      <c r="C7" t="s">
        <v>375</v>
      </c>
      <c r="D7" t="s">
        <v>1002</v>
      </c>
      <c r="E7">
        <v>0</v>
      </c>
      <c r="F7" t="s">
        <v>986</v>
      </c>
      <c r="G7" t="s">
        <v>987</v>
      </c>
      <c r="H7" t="s">
        <v>988</v>
      </c>
      <c r="I7" t="s">
        <v>987</v>
      </c>
      <c r="J7" t="s">
        <v>987</v>
      </c>
      <c r="K7" t="b">
        <v>1</v>
      </c>
      <c r="L7" t="b">
        <v>0</v>
      </c>
      <c r="M7" t="s">
        <v>987</v>
      </c>
      <c r="N7" t="s">
        <v>989</v>
      </c>
      <c r="O7" t="s">
        <v>990</v>
      </c>
      <c r="P7" t="s">
        <v>991</v>
      </c>
      <c r="Q7" t="s">
        <v>992</v>
      </c>
    </row>
    <row r="8" spans="1:17" x14ac:dyDescent="0.25">
      <c r="A8" t="s">
        <v>42</v>
      </c>
      <c r="B8" t="s">
        <v>1003</v>
      </c>
      <c r="C8" t="s">
        <v>375</v>
      </c>
      <c r="D8" t="s">
        <v>1004</v>
      </c>
      <c r="E8">
        <v>0</v>
      </c>
      <c r="F8" t="s">
        <v>986</v>
      </c>
      <c r="G8" t="s">
        <v>987</v>
      </c>
      <c r="H8" t="s">
        <v>988</v>
      </c>
      <c r="I8" t="s">
        <v>987</v>
      </c>
      <c r="J8" t="s">
        <v>987</v>
      </c>
      <c r="K8" t="b">
        <v>1</v>
      </c>
      <c r="L8" t="b">
        <v>0</v>
      </c>
      <c r="M8" t="s">
        <v>987</v>
      </c>
      <c r="N8" t="s">
        <v>989</v>
      </c>
      <c r="O8" t="s">
        <v>990</v>
      </c>
      <c r="P8" t="s">
        <v>991</v>
      </c>
      <c r="Q8" t="s">
        <v>992</v>
      </c>
    </row>
    <row r="9" spans="1:17" x14ac:dyDescent="0.25">
      <c r="A9" t="s">
        <v>42</v>
      </c>
      <c r="B9" t="s">
        <v>1005</v>
      </c>
      <c r="C9" t="s">
        <v>375</v>
      </c>
      <c r="D9" t="s">
        <v>1006</v>
      </c>
      <c r="E9">
        <v>0</v>
      </c>
      <c r="F9" t="s">
        <v>986</v>
      </c>
      <c r="G9" t="s">
        <v>987</v>
      </c>
      <c r="H9" t="s">
        <v>988</v>
      </c>
      <c r="I9" t="s">
        <v>987</v>
      </c>
      <c r="J9" t="s">
        <v>987</v>
      </c>
      <c r="K9" t="b">
        <v>1</v>
      </c>
      <c r="L9" t="b">
        <v>0</v>
      </c>
      <c r="M9" t="s">
        <v>987</v>
      </c>
      <c r="N9" t="s">
        <v>989</v>
      </c>
      <c r="O9" t="s">
        <v>990</v>
      </c>
      <c r="P9" t="s">
        <v>991</v>
      </c>
      <c r="Q9" t="s">
        <v>992</v>
      </c>
    </row>
    <row r="10" spans="1:17" x14ac:dyDescent="0.25">
      <c r="A10" t="s">
        <v>42</v>
      </c>
      <c r="B10" t="s">
        <v>1007</v>
      </c>
      <c r="C10" t="s">
        <v>375</v>
      </c>
      <c r="D10" t="s">
        <v>1008</v>
      </c>
      <c r="E10">
        <v>0</v>
      </c>
      <c r="F10" t="s">
        <v>986</v>
      </c>
      <c r="G10" t="s">
        <v>987</v>
      </c>
      <c r="H10" t="s">
        <v>988</v>
      </c>
      <c r="I10" t="s">
        <v>987</v>
      </c>
      <c r="J10" t="s">
        <v>987</v>
      </c>
      <c r="K10" t="b">
        <v>1</v>
      </c>
      <c r="L10" t="b">
        <v>0</v>
      </c>
      <c r="M10" t="s">
        <v>987</v>
      </c>
      <c r="N10" t="s">
        <v>989</v>
      </c>
      <c r="O10" t="s">
        <v>990</v>
      </c>
      <c r="P10" t="s">
        <v>991</v>
      </c>
      <c r="Q10" t="s">
        <v>992</v>
      </c>
    </row>
    <row r="11" spans="1:17" x14ac:dyDescent="0.25">
      <c r="A11" t="s">
        <v>42</v>
      </c>
      <c r="B11" t="s">
        <v>1009</v>
      </c>
      <c r="C11" t="s">
        <v>375</v>
      </c>
      <c r="D11" t="s">
        <v>1010</v>
      </c>
      <c r="E11">
        <v>0</v>
      </c>
      <c r="F11" t="s">
        <v>986</v>
      </c>
      <c r="G11" t="s">
        <v>987</v>
      </c>
      <c r="H11" t="s">
        <v>988</v>
      </c>
      <c r="I11" t="s">
        <v>987</v>
      </c>
      <c r="J11" t="s">
        <v>987</v>
      </c>
      <c r="K11" t="b">
        <v>1</v>
      </c>
      <c r="L11" t="b">
        <v>0</v>
      </c>
      <c r="M11" t="s">
        <v>987</v>
      </c>
      <c r="N11" t="s">
        <v>989</v>
      </c>
      <c r="O11" t="s">
        <v>990</v>
      </c>
      <c r="P11" t="s">
        <v>991</v>
      </c>
      <c r="Q11" t="s">
        <v>992</v>
      </c>
    </row>
    <row r="12" spans="1:17" x14ac:dyDescent="0.25">
      <c r="A12" t="s">
        <v>42</v>
      </c>
      <c r="B12" t="s">
        <v>1011</v>
      </c>
      <c r="C12" t="s">
        <v>375</v>
      </c>
      <c r="D12" t="s">
        <v>1012</v>
      </c>
      <c r="E12">
        <v>0</v>
      </c>
      <c r="F12" t="s">
        <v>986</v>
      </c>
      <c r="G12" t="s">
        <v>987</v>
      </c>
      <c r="H12" t="s">
        <v>988</v>
      </c>
      <c r="I12" t="s">
        <v>987</v>
      </c>
      <c r="J12" t="s">
        <v>987</v>
      </c>
      <c r="K12" t="b">
        <v>1</v>
      </c>
      <c r="L12" t="b">
        <v>0</v>
      </c>
      <c r="M12" t="s">
        <v>987</v>
      </c>
      <c r="N12" t="s">
        <v>989</v>
      </c>
      <c r="O12" t="s">
        <v>990</v>
      </c>
      <c r="P12" t="s">
        <v>991</v>
      </c>
      <c r="Q12" t="s">
        <v>992</v>
      </c>
    </row>
    <row r="13" spans="1:17" x14ac:dyDescent="0.25">
      <c r="A13" t="s">
        <v>42</v>
      </c>
      <c r="B13" t="s">
        <v>1013</v>
      </c>
      <c r="C13" t="s">
        <v>375</v>
      </c>
      <c r="D13" t="s">
        <v>1014</v>
      </c>
      <c r="E13">
        <v>0</v>
      </c>
      <c r="F13" t="s">
        <v>986</v>
      </c>
      <c r="G13" t="s">
        <v>987</v>
      </c>
      <c r="H13" t="s">
        <v>988</v>
      </c>
      <c r="I13" t="s">
        <v>987</v>
      </c>
      <c r="J13" t="s">
        <v>987</v>
      </c>
      <c r="K13" t="b">
        <v>1</v>
      </c>
      <c r="L13" t="b">
        <v>0</v>
      </c>
      <c r="M13" t="s">
        <v>987</v>
      </c>
      <c r="N13" t="s">
        <v>989</v>
      </c>
      <c r="O13" t="s">
        <v>990</v>
      </c>
      <c r="P13" t="s">
        <v>991</v>
      </c>
      <c r="Q13" t="s">
        <v>992</v>
      </c>
    </row>
    <row r="14" spans="1:17" x14ac:dyDescent="0.25">
      <c r="A14" t="s">
        <v>42</v>
      </c>
      <c r="B14" t="s">
        <v>1015</v>
      </c>
      <c r="C14" t="s">
        <v>375</v>
      </c>
      <c r="D14" t="s">
        <v>1016</v>
      </c>
      <c r="E14">
        <v>0</v>
      </c>
      <c r="F14" t="s">
        <v>986</v>
      </c>
      <c r="G14" t="s">
        <v>987</v>
      </c>
      <c r="H14" t="s">
        <v>988</v>
      </c>
      <c r="I14" t="s">
        <v>987</v>
      </c>
      <c r="J14" t="s">
        <v>987</v>
      </c>
      <c r="K14" t="b">
        <v>1</v>
      </c>
      <c r="L14" t="b">
        <v>0</v>
      </c>
      <c r="M14" t="s">
        <v>987</v>
      </c>
      <c r="N14" t="s">
        <v>989</v>
      </c>
      <c r="O14" t="s">
        <v>990</v>
      </c>
      <c r="P14" t="s">
        <v>991</v>
      </c>
      <c r="Q14" t="s">
        <v>992</v>
      </c>
    </row>
    <row r="15" spans="1:17" x14ac:dyDescent="0.25">
      <c r="A15" t="s">
        <v>42</v>
      </c>
      <c r="B15" t="s">
        <v>1017</v>
      </c>
      <c r="C15" t="s">
        <v>269</v>
      </c>
      <c r="D15" t="s">
        <v>998</v>
      </c>
      <c r="E15">
        <v>-11609</v>
      </c>
      <c r="F15" t="s">
        <v>1018</v>
      </c>
      <c r="G15" t="s">
        <v>1019</v>
      </c>
      <c r="H15" t="s">
        <v>988</v>
      </c>
      <c r="I15" t="s">
        <v>987</v>
      </c>
      <c r="J15" t="s">
        <v>987</v>
      </c>
      <c r="K15" t="b">
        <v>0</v>
      </c>
      <c r="L15" t="b">
        <v>1</v>
      </c>
      <c r="M15" t="s">
        <v>1020</v>
      </c>
      <c r="N15" t="s">
        <v>989</v>
      </c>
      <c r="O15" t="s">
        <v>1021</v>
      </c>
      <c r="P15" t="s">
        <v>1022</v>
      </c>
      <c r="Q15" t="s">
        <v>1023</v>
      </c>
    </row>
    <row r="16" spans="1:17" x14ac:dyDescent="0.25">
      <c r="A16" t="s">
        <v>42</v>
      </c>
      <c r="B16" t="s">
        <v>1024</v>
      </c>
      <c r="C16" t="s">
        <v>271</v>
      </c>
      <c r="D16" t="s">
        <v>998</v>
      </c>
      <c r="E16">
        <v>-4265</v>
      </c>
      <c r="F16" t="s">
        <v>1018</v>
      </c>
      <c r="G16" t="s">
        <v>987</v>
      </c>
      <c r="H16" t="s">
        <v>988</v>
      </c>
      <c r="I16" t="s">
        <v>987</v>
      </c>
      <c r="J16" t="s">
        <v>987</v>
      </c>
      <c r="K16" t="b">
        <v>0</v>
      </c>
      <c r="L16" t="b">
        <v>1</v>
      </c>
      <c r="M16" t="s">
        <v>1020</v>
      </c>
      <c r="N16" t="s">
        <v>989</v>
      </c>
      <c r="O16" t="s">
        <v>1021</v>
      </c>
      <c r="P16" t="s">
        <v>1022</v>
      </c>
      <c r="Q16" t="s">
        <v>1023</v>
      </c>
    </row>
    <row r="17" spans="1:17" x14ac:dyDescent="0.25">
      <c r="A17" t="s">
        <v>42</v>
      </c>
      <c r="B17" t="s">
        <v>1025</v>
      </c>
      <c r="C17" t="s">
        <v>277</v>
      </c>
      <c r="D17" t="s">
        <v>985</v>
      </c>
      <c r="E17">
        <v>-221</v>
      </c>
      <c r="F17" t="s">
        <v>1026</v>
      </c>
      <c r="G17" t="s">
        <v>1027</v>
      </c>
      <c r="H17" t="s">
        <v>988</v>
      </c>
      <c r="I17" t="s">
        <v>1028</v>
      </c>
      <c r="J17" t="s">
        <v>987</v>
      </c>
      <c r="K17" t="b">
        <v>1</v>
      </c>
      <c r="L17" t="b">
        <v>0</v>
      </c>
      <c r="M17" t="s">
        <v>987</v>
      </c>
      <c r="N17" t="s">
        <v>1029</v>
      </c>
      <c r="O17" t="s">
        <v>990</v>
      </c>
      <c r="P17" t="s">
        <v>1030</v>
      </c>
      <c r="Q17" t="s">
        <v>1031</v>
      </c>
    </row>
    <row r="18" spans="1:17" x14ac:dyDescent="0.25">
      <c r="A18" t="s">
        <v>42</v>
      </c>
      <c r="B18" t="s">
        <v>1032</v>
      </c>
      <c r="C18" t="s">
        <v>277</v>
      </c>
      <c r="D18" t="s">
        <v>994</v>
      </c>
      <c r="E18">
        <v>-226</v>
      </c>
      <c r="F18" t="s">
        <v>1026</v>
      </c>
      <c r="G18" t="s">
        <v>1033</v>
      </c>
      <c r="H18" t="s">
        <v>988</v>
      </c>
      <c r="I18" t="s">
        <v>1034</v>
      </c>
      <c r="J18" t="s">
        <v>987</v>
      </c>
      <c r="K18" t="b">
        <v>1</v>
      </c>
      <c r="L18" t="b">
        <v>0</v>
      </c>
      <c r="M18" t="s">
        <v>987</v>
      </c>
      <c r="N18" t="s">
        <v>1029</v>
      </c>
      <c r="O18" t="s">
        <v>990</v>
      </c>
      <c r="P18" t="s">
        <v>1030</v>
      </c>
      <c r="Q18" t="s">
        <v>1031</v>
      </c>
    </row>
    <row r="19" spans="1:17" x14ac:dyDescent="0.25">
      <c r="A19" t="s">
        <v>42</v>
      </c>
      <c r="B19" t="s">
        <v>1035</v>
      </c>
      <c r="C19" t="s">
        <v>277</v>
      </c>
      <c r="D19" t="s">
        <v>996</v>
      </c>
      <c r="E19">
        <v>-227</v>
      </c>
      <c r="F19" t="s">
        <v>1026</v>
      </c>
      <c r="G19" t="s">
        <v>1036</v>
      </c>
      <c r="H19" t="s">
        <v>988</v>
      </c>
      <c r="I19" t="s">
        <v>1037</v>
      </c>
      <c r="J19" t="s">
        <v>987</v>
      </c>
      <c r="K19" t="b">
        <v>1</v>
      </c>
      <c r="L19" t="b">
        <v>0</v>
      </c>
      <c r="M19" t="s">
        <v>987</v>
      </c>
      <c r="N19" t="s">
        <v>1029</v>
      </c>
      <c r="O19" t="s">
        <v>990</v>
      </c>
      <c r="P19" t="s">
        <v>1030</v>
      </c>
      <c r="Q19" t="s">
        <v>1031</v>
      </c>
    </row>
    <row r="20" spans="1:17" x14ac:dyDescent="0.25">
      <c r="A20" t="s">
        <v>42</v>
      </c>
      <c r="B20" t="s">
        <v>1038</v>
      </c>
      <c r="C20" t="s">
        <v>277</v>
      </c>
      <c r="D20" t="s">
        <v>998</v>
      </c>
      <c r="E20">
        <v>-159</v>
      </c>
      <c r="F20" t="s">
        <v>1018</v>
      </c>
      <c r="G20" t="s">
        <v>987</v>
      </c>
      <c r="H20" t="s">
        <v>988</v>
      </c>
      <c r="I20" t="s">
        <v>987</v>
      </c>
      <c r="J20" t="s">
        <v>987</v>
      </c>
      <c r="K20" t="b">
        <v>0</v>
      </c>
      <c r="L20" t="b">
        <v>1</v>
      </c>
      <c r="M20" t="s">
        <v>1020</v>
      </c>
      <c r="N20" t="s">
        <v>989</v>
      </c>
      <c r="O20" t="s">
        <v>1021</v>
      </c>
      <c r="P20" t="s">
        <v>1022</v>
      </c>
      <c r="Q20" t="s">
        <v>1023</v>
      </c>
    </row>
    <row r="21" spans="1:17" x14ac:dyDescent="0.25">
      <c r="A21" t="s">
        <v>42</v>
      </c>
      <c r="B21" t="s">
        <v>1039</v>
      </c>
      <c r="C21" t="s">
        <v>277</v>
      </c>
      <c r="D21" t="s">
        <v>1000</v>
      </c>
      <c r="E21">
        <v>-218</v>
      </c>
      <c r="F21" t="s">
        <v>1026</v>
      </c>
      <c r="G21" t="s">
        <v>1040</v>
      </c>
      <c r="H21" t="s">
        <v>988</v>
      </c>
      <c r="I21" t="s">
        <v>1028</v>
      </c>
      <c r="J21" t="s">
        <v>987</v>
      </c>
      <c r="K21" t="b">
        <v>1</v>
      </c>
      <c r="L21" t="b">
        <v>0</v>
      </c>
      <c r="M21" t="s">
        <v>987</v>
      </c>
      <c r="N21" t="s">
        <v>1029</v>
      </c>
      <c r="O21" t="s">
        <v>990</v>
      </c>
      <c r="P21" t="s">
        <v>1030</v>
      </c>
      <c r="Q21" t="s">
        <v>1031</v>
      </c>
    </row>
    <row r="22" spans="1:17" x14ac:dyDescent="0.25">
      <c r="A22" t="s">
        <v>42</v>
      </c>
      <c r="B22" t="s">
        <v>1041</v>
      </c>
      <c r="C22" t="s">
        <v>279</v>
      </c>
      <c r="D22" t="s">
        <v>985</v>
      </c>
      <c r="E22">
        <v>-2</v>
      </c>
      <c r="F22" t="s">
        <v>1026</v>
      </c>
      <c r="G22" t="s">
        <v>1042</v>
      </c>
      <c r="H22" t="s">
        <v>988</v>
      </c>
      <c r="I22" t="s">
        <v>1028</v>
      </c>
      <c r="J22" t="s">
        <v>987</v>
      </c>
      <c r="K22" t="b">
        <v>1</v>
      </c>
      <c r="L22" t="b">
        <v>0</v>
      </c>
      <c r="M22" t="s">
        <v>987</v>
      </c>
      <c r="N22" t="s">
        <v>1029</v>
      </c>
      <c r="O22" t="s">
        <v>990</v>
      </c>
      <c r="P22" t="s">
        <v>1030</v>
      </c>
      <c r="Q22" t="s">
        <v>987</v>
      </c>
    </row>
    <row r="23" spans="1:17" x14ac:dyDescent="0.25">
      <c r="A23" t="s">
        <v>42</v>
      </c>
      <c r="B23" t="s">
        <v>1043</v>
      </c>
      <c r="C23" t="s">
        <v>279</v>
      </c>
      <c r="D23" t="s">
        <v>994</v>
      </c>
      <c r="E23">
        <v>6</v>
      </c>
      <c r="F23" t="s">
        <v>1026</v>
      </c>
      <c r="G23" t="s">
        <v>1044</v>
      </c>
      <c r="H23" t="s">
        <v>988</v>
      </c>
      <c r="I23" t="s">
        <v>1045</v>
      </c>
      <c r="J23" t="s">
        <v>987</v>
      </c>
      <c r="K23" t="b">
        <v>1</v>
      </c>
      <c r="L23" t="b">
        <v>0</v>
      </c>
      <c r="M23" t="s">
        <v>987</v>
      </c>
      <c r="N23" t="s">
        <v>1029</v>
      </c>
      <c r="O23" t="s">
        <v>990</v>
      </c>
      <c r="P23" t="s">
        <v>1030</v>
      </c>
      <c r="Q23" t="s">
        <v>987</v>
      </c>
    </row>
    <row r="24" spans="1:17" x14ac:dyDescent="0.25">
      <c r="A24" t="s">
        <v>42</v>
      </c>
      <c r="B24" t="s">
        <v>1046</v>
      </c>
      <c r="C24" t="s">
        <v>279</v>
      </c>
      <c r="D24" t="s">
        <v>996</v>
      </c>
      <c r="E24">
        <v>4</v>
      </c>
      <c r="F24" t="s">
        <v>1026</v>
      </c>
      <c r="G24" t="s">
        <v>1047</v>
      </c>
      <c r="H24" t="s">
        <v>988</v>
      </c>
      <c r="I24" t="s">
        <v>1048</v>
      </c>
      <c r="J24" t="s">
        <v>987</v>
      </c>
      <c r="K24" t="b">
        <v>1</v>
      </c>
      <c r="L24" t="b">
        <v>0</v>
      </c>
      <c r="M24" t="s">
        <v>987</v>
      </c>
      <c r="N24" t="s">
        <v>1029</v>
      </c>
      <c r="O24" t="s">
        <v>990</v>
      </c>
      <c r="P24" t="s">
        <v>1030</v>
      </c>
      <c r="Q24" t="s">
        <v>987</v>
      </c>
    </row>
    <row r="25" spans="1:17" x14ac:dyDescent="0.25">
      <c r="A25" t="s">
        <v>42</v>
      </c>
      <c r="B25" t="s">
        <v>1049</v>
      </c>
      <c r="C25" t="s">
        <v>279</v>
      </c>
      <c r="D25" t="s">
        <v>998</v>
      </c>
      <c r="E25">
        <v>11</v>
      </c>
      <c r="F25" t="s">
        <v>1026</v>
      </c>
      <c r="G25" t="s">
        <v>1050</v>
      </c>
      <c r="H25" t="s">
        <v>988</v>
      </c>
      <c r="I25" t="s">
        <v>987</v>
      </c>
      <c r="J25" t="s">
        <v>987</v>
      </c>
      <c r="K25" t="b">
        <v>1</v>
      </c>
      <c r="L25" t="b">
        <v>0</v>
      </c>
      <c r="M25" t="s">
        <v>987</v>
      </c>
      <c r="N25" t="s">
        <v>1029</v>
      </c>
      <c r="O25" t="s">
        <v>990</v>
      </c>
      <c r="P25" t="s">
        <v>1030</v>
      </c>
      <c r="Q25" t="s">
        <v>1051</v>
      </c>
    </row>
    <row r="26" spans="1:17" x14ac:dyDescent="0.25">
      <c r="A26" t="s">
        <v>42</v>
      </c>
      <c r="B26" t="s">
        <v>1052</v>
      </c>
      <c r="C26" t="s">
        <v>279</v>
      </c>
      <c r="D26" t="s">
        <v>1000</v>
      </c>
      <c r="E26">
        <v>25</v>
      </c>
      <c r="F26" t="s">
        <v>1026</v>
      </c>
      <c r="G26" t="s">
        <v>1053</v>
      </c>
      <c r="H26" t="s">
        <v>988</v>
      </c>
      <c r="I26" t="s">
        <v>1054</v>
      </c>
      <c r="J26" t="s">
        <v>987</v>
      </c>
      <c r="K26" t="b">
        <v>1</v>
      </c>
      <c r="L26" t="b">
        <v>0</v>
      </c>
      <c r="M26" t="s">
        <v>987</v>
      </c>
      <c r="N26" t="s">
        <v>1029</v>
      </c>
      <c r="O26" t="s">
        <v>990</v>
      </c>
      <c r="P26" t="s">
        <v>1030</v>
      </c>
      <c r="Q26" t="s">
        <v>987</v>
      </c>
    </row>
    <row r="27" spans="1:17" x14ac:dyDescent="0.25">
      <c r="A27" t="s">
        <v>42</v>
      </c>
      <c r="B27" t="s">
        <v>1055</v>
      </c>
      <c r="C27" t="s">
        <v>279</v>
      </c>
      <c r="D27" t="s">
        <v>1002</v>
      </c>
      <c r="E27">
        <v>29</v>
      </c>
      <c r="F27" t="s">
        <v>1026</v>
      </c>
      <c r="G27" t="s">
        <v>1056</v>
      </c>
      <c r="H27" t="s">
        <v>988</v>
      </c>
      <c r="I27" t="s">
        <v>1057</v>
      </c>
      <c r="J27" t="s">
        <v>987</v>
      </c>
      <c r="K27" t="b">
        <v>1</v>
      </c>
      <c r="L27" t="b">
        <v>0</v>
      </c>
      <c r="M27" t="s">
        <v>987</v>
      </c>
      <c r="N27" t="s">
        <v>1029</v>
      </c>
      <c r="O27" t="s">
        <v>990</v>
      </c>
      <c r="P27" t="s">
        <v>1030</v>
      </c>
      <c r="Q27" t="s">
        <v>987</v>
      </c>
    </row>
    <row r="28" spans="1:17" x14ac:dyDescent="0.25">
      <c r="A28" t="s">
        <v>42</v>
      </c>
      <c r="B28" t="s">
        <v>1058</v>
      </c>
      <c r="C28" t="s">
        <v>279</v>
      </c>
      <c r="D28" t="s">
        <v>1004</v>
      </c>
      <c r="E28">
        <v>35</v>
      </c>
      <c r="F28" t="s">
        <v>1026</v>
      </c>
      <c r="G28" t="s">
        <v>1059</v>
      </c>
      <c r="H28" t="s">
        <v>988</v>
      </c>
      <c r="I28" t="s">
        <v>1060</v>
      </c>
      <c r="J28" t="s">
        <v>987</v>
      </c>
      <c r="K28" t="b">
        <v>1</v>
      </c>
      <c r="L28" t="b">
        <v>0</v>
      </c>
      <c r="M28" t="s">
        <v>987</v>
      </c>
      <c r="N28" t="s">
        <v>1029</v>
      </c>
      <c r="O28" t="s">
        <v>990</v>
      </c>
      <c r="P28" t="s">
        <v>1030</v>
      </c>
      <c r="Q28" t="s">
        <v>987</v>
      </c>
    </row>
    <row r="29" spans="1:17" x14ac:dyDescent="0.25">
      <c r="A29" t="s">
        <v>42</v>
      </c>
      <c r="B29" t="s">
        <v>1061</v>
      </c>
      <c r="C29" t="s">
        <v>279</v>
      </c>
      <c r="D29" t="s">
        <v>1006</v>
      </c>
      <c r="E29">
        <v>37</v>
      </c>
      <c r="F29" t="s">
        <v>1026</v>
      </c>
      <c r="G29" t="s">
        <v>1062</v>
      </c>
      <c r="H29" t="s">
        <v>988</v>
      </c>
      <c r="I29" t="s">
        <v>987</v>
      </c>
      <c r="J29" t="s">
        <v>987</v>
      </c>
      <c r="K29" t="b">
        <v>1</v>
      </c>
      <c r="L29" t="b">
        <v>0</v>
      </c>
      <c r="M29" t="s">
        <v>987</v>
      </c>
      <c r="N29" t="s">
        <v>1029</v>
      </c>
      <c r="O29" t="s">
        <v>990</v>
      </c>
      <c r="P29" t="s">
        <v>1030</v>
      </c>
      <c r="Q29" t="s">
        <v>1063</v>
      </c>
    </row>
    <row r="30" spans="1:17" x14ac:dyDescent="0.25">
      <c r="A30" t="s">
        <v>42</v>
      </c>
      <c r="B30" t="s">
        <v>1064</v>
      </c>
      <c r="C30" t="s">
        <v>279</v>
      </c>
      <c r="D30" t="s">
        <v>1008</v>
      </c>
      <c r="E30">
        <v>26</v>
      </c>
      <c r="F30" t="s">
        <v>1026</v>
      </c>
      <c r="G30" t="s">
        <v>1065</v>
      </c>
      <c r="H30" t="s">
        <v>988</v>
      </c>
      <c r="I30" t="s">
        <v>1066</v>
      </c>
      <c r="J30" t="s">
        <v>987</v>
      </c>
      <c r="K30" t="b">
        <v>1</v>
      </c>
      <c r="L30" t="b">
        <v>0</v>
      </c>
      <c r="M30" t="s">
        <v>987</v>
      </c>
      <c r="N30" t="s">
        <v>1029</v>
      </c>
      <c r="O30" t="s">
        <v>990</v>
      </c>
      <c r="P30" t="s">
        <v>1030</v>
      </c>
      <c r="Q30" t="s">
        <v>987</v>
      </c>
    </row>
    <row r="31" spans="1:17" x14ac:dyDescent="0.25">
      <c r="A31" t="s">
        <v>42</v>
      </c>
      <c r="B31" t="s">
        <v>1067</v>
      </c>
      <c r="C31" t="s">
        <v>279</v>
      </c>
      <c r="D31" t="s">
        <v>1010</v>
      </c>
      <c r="E31">
        <v>25</v>
      </c>
      <c r="F31" t="s">
        <v>1026</v>
      </c>
      <c r="G31" t="s">
        <v>1053</v>
      </c>
      <c r="H31" t="s">
        <v>988</v>
      </c>
      <c r="I31" t="s">
        <v>1057</v>
      </c>
      <c r="J31" t="s">
        <v>987</v>
      </c>
      <c r="K31" t="b">
        <v>1</v>
      </c>
      <c r="L31" t="b">
        <v>0</v>
      </c>
      <c r="M31" t="s">
        <v>987</v>
      </c>
      <c r="N31" t="s">
        <v>1029</v>
      </c>
      <c r="O31" t="s">
        <v>990</v>
      </c>
      <c r="P31" t="s">
        <v>1030</v>
      </c>
      <c r="Q31" t="s">
        <v>987</v>
      </c>
    </row>
    <row r="32" spans="1:17" x14ac:dyDescent="0.25">
      <c r="A32" t="s">
        <v>42</v>
      </c>
      <c r="B32" t="s">
        <v>1068</v>
      </c>
      <c r="C32" t="s">
        <v>279</v>
      </c>
      <c r="D32" t="s">
        <v>1012</v>
      </c>
      <c r="E32">
        <v>29</v>
      </c>
      <c r="F32" t="s">
        <v>1026</v>
      </c>
      <c r="G32" t="s">
        <v>1056</v>
      </c>
      <c r="H32" t="s">
        <v>988</v>
      </c>
      <c r="I32" t="s">
        <v>1060</v>
      </c>
      <c r="J32" t="s">
        <v>987</v>
      </c>
      <c r="K32" t="b">
        <v>1</v>
      </c>
      <c r="L32" t="b">
        <v>0</v>
      </c>
      <c r="M32" t="s">
        <v>987</v>
      </c>
      <c r="N32" t="s">
        <v>1029</v>
      </c>
      <c r="O32" t="s">
        <v>990</v>
      </c>
      <c r="P32" t="s">
        <v>1030</v>
      </c>
      <c r="Q32" t="s">
        <v>987</v>
      </c>
    </row>
    <row r="33" spans="1:17" x14ac:dyDescent="0.25">
      <c r="A33" t="s">
        <v>42</v>
      </c>
      <c r="B33" t="s">
        <v>1069</v>
      </c>
      <c r="C33" t="s">
        <v>279</v>
      </c>
      <c r="D33" t="s">
        <v>1014</v>
      </c>
      <c r="E33">
        <v>-1245</v>
      </c>
      <c r="F33" t="s">
        <v>1018</v>
      </c>
      <c r="G33" t="s">
        <v>1070</v>
      </c>
      <c r="H33" t="s">
        <v>988</v>
      </c>
      <c r="I33" t="s">
        <v>987</v>
      </c>
      <c r="J33" t="s">
        <v>987</v>
      </c>
      <c r="K33" t="b">
        <v>0</v>
      </c>
      <c r="L33" t="b">
        <v>1</v>
      </c>
      <c r="M33" t="s">
        <v>1020</v>
      </c>
      <c r="N33" t="s">
        <v>989</v>
      </c>
      <c r="O33" t="s">
        <v>1021</v>
      </c>
      <c r="P33" t="s">
        <v>1022</v>
      </c>
      <c r="Q33" t="s">
        <v>1023</v>
      </c>
    </row>
    <row r="34" spans="1:17" x14ac:dyDescent="0.25">
      <c r="A34" t="s">
        <v>42</v>
      </c>
      <c r="B34" t="s">
        <v>1071</v>
      </c>
      <c r="C34" t="s">
        <v>279</v>
      </c>
      <c r="D34" t="s">
        <v>1016</v>
      </c>
      <c r="E34">
        <v>41</v>
      </c>
      <c r="F34" t="s">
        <v>1026</v>
      </c>
      <c r="G34" t="s">
        <v>1072</v>
      </c>
      <c r="H34" t="s">
        <v>988</v>
      </c>
      <c r="I34" t="s">
        <v>1066</v>
      </c>
      <c r="J34" t="s">
        <v>987</v>
      </c>
      <c r="K34" t="b">
        <v>1</v>
      </c>
      <c r="L34" t="b">
        <v>0</v>
      </c>
      <c r="M34" t="s">
        <v>987</v>
      </c>
      <c r="N34" t="s">
        <v>1029</v>
      </c>
      <c r="O34" t="s">
        <v>990</v>
      </c>
      <c r="P34" t="s">
        <v>1030</v>
      </c>
      <c r="Q34" t="s">
        <v>987</v>
      </c>
    </row>
    <row r="35" spans="1:17" x14ac:dyDescent="0.25">
      <c r="A35" t="s">
        <v>42</v>
      </c>
      <c r="B35" t="s">
        <v>1073</v>
      </c>
      <c r="C35" t="s">
        <v>281</v>
      </c>
      <c r="D35" t="s">
        <v>985</v>
      </c>
      <c r="E35">
        <v>-84</v>
      </c>
      <c r="F35" t="s">
        <v>1026</v>
      </c>
      <c r="G35" t="s">
        <v>1074</v>
      </c>
      <c r="H35" t="s">
        <v>988</v>
      </c>
      <c r="I35" t="s">
        <v>1028</v>
      </c>
      <c r="J35" t="s">
        <v>987</v>
      </c>
      <c r="K35" t="b">
        <v>1</v>
      </c>
      <c r="L35" t="b">
        <v>0</v>
      </c>
      <c r="M35" t="s">
        <v>987</v>
      </c>
      <c r="N35" t="s">
        <v>1029</v>
      </c>
      <c r="O35" t="s">
        <v>990</v>
      </c>
      <c r="P35" t="s">
        <v>1030</v>
      </c>
      <c r="Q35" t="s">
        <v>1075</v>
      </c>
    </row>
    <row r="36" spans="1:17" x14ac:dyDescent="0.25">
      <c r="A36" t="s">
        <v>42</v>
      </c>
      <c r="B36" t="s">
        <v>1076</v>
      </c>
      <c r="C36" t="s">
        <v>281</v>
      </c>
      <c r="D36" t="s">
        <v>994</v>
      </c>
      <c r="E36">
        <v>-80</v>
      </c>
      <c r="F36" t="s">
        <v>1026</v>
      </c>
      <c r="G36" t="s">
        <v>1077</v>
      </c>
      <c r="H36" t="s">
        <v>988</v>
      </c>
      <c r="I36" t="s">
        <v>1045</v>
      </c>
      <c r="J36" t="s">
        <v>987</v>
      </c>
      <c r="K36" t="b">
        <v>1</v>
      </c>
      <c r="L36" t="b">
        <v>0</v>
      </c>
      <c r="M36" t="s">
        <v>987</v>
      </c>
      <c r="N36" t="s">
        <v>1029</v>
      </c>
      <c r="O36" t="s">
        <v>990</v>
      </c>
      <c r="P36" t="s">
        <v>1030</v>
      </c>
      <c r="Q36" t="s">
        <v>1075</v>
      </c>
    </row>
    <row r="37" spans="1:17" x14ac:dyDescent="0.25">
      <c r="A37" t="s">
        <v>42</v>
      </c>
      <c r="B37" t="s">
        <v>1078</v>
      </c>
      <c r="C37" t="s">
        <v>281</v>
      </c>
      <c r="D37" t="s">
        <v>996</v>
      </c>
      <c r="E37">
        <v>-79</v>
      </c>
      <c r="F37" t="s">
        <v>1026</v>
      </c>
      <c r="G37" t="s">
        <v>1079</v>
      </c>
      <c r="H37" t="s">
        <v>988</v>
      </c>
      <c r="I37" t="s">
        <v>1048</v>
      </c>
      <c r="J37" t="s">
        <v>987</v>
      </c>
      <c r="K37" t="b">
        <v>1</v>
      </c>
      <c r="L37" t="b">
        <v>0</v>
      </c>
      <c r="M37" t="s">
        <v>987</v>
      </c>
      <c r="N37" t="s">
        <v>1029</v>
      </c>
      <c r="O37" t="s">
        <v>990</v>
      </c>
      <c r="P37" t="s">
        <v>1030</v>
      </c>
      <c r="Q37" t="s">
        <v>1075</v>
      </c>
    </row>
    <row r="38" spans="1:17" x14ac:dyDescent="0.25">
      <c r="A38" t="s">
        <v>42</v>
      </c>
      <c r="B38" t="s">
        <v>1080</v>
      </c>
      <c r="C38" t="s">
        <v>281</v>
      </c>
      <c r="D38" t="s">
        <v>998</v>
      </c>
      <c r="E38">
        <v>-98</v>
      </c>
      <c r="F38" t="s">
        <v>1018</v>
      </c>
      <c r="G38" t="s">
        <v>987</v>
      </c>
      <c r="H38" t="s">
        <v>988</v>
      </c>
      <c r="I38" t="s">
        <v>987</v>
      </c>
      <c r="J38" t="s">
        <v>987</v>
      </c>
      <c r="K38" t="b">
        <v>0</v>
      </c>
      <c r="L38" t="b">
        <v>1</v>
      </c>
      <c r="M38" t="s">
        <v>1020</v>
      </c>
      <c r="N38" t="s">
        <v>989</v>
      </c>
      <c r="O38" t="s">
        <v>1021</v>
      </c>
      <c r="P38" t="s">
        <v>1022</v>
      </c>
      <c r="Q38" t="s">
        <v>1023</v>
      </c>
    </row>
    <row r="39" spans="1:17" x14ac:dyDescent="0.25">
      <c r="A39" t="s">
        <v>42</v>
      </c>
      <c r="B39" t="s">
        <v>1081</v>
      </c>
      <c r="C39" t="s">
        <v>281</v>
      </c>
      <c r="D39" t="s">
        <v>1000</v>
      </c>
      <c r="E39">
        <v>-750</v>
      </c>
      <c r="F39" t="s">
        <v>1026</v>
      </c>
      <c r="G39" t="s">
        <v>1082</v>
      </c>
      <c r="H39" t="s">
        <v>988</v>
      </c>
      <c r="I39" t="s">
        <v>1054</v>
      </c>
      <c r="J39" t="s">
        <v>987</v>
      </c>
      <c r="K39" t="b">
        <v>1</v>
      </c>
      <c r="L39" t="b">
        <v>0</v>
      </c>
      <c r="M39" t="s">
        <v>987</v>
      </c>
      <c r="N39" t="s">
        <v>1029</v>
      </c>
      <c r="O39" t="s">
        <v>990</v>
      </c>
      <c r="P39" t="s">
        <v>1030</v>
      </c>
      <c r="Q39" t="s">
        <v>1075</v>
      </c>
    </row>
    <row r="40" spans="1:17" x14ac:dyDescent="0.25">
      <c r="A40" t="s">
        <v>42</v>
      </c>
      <c r="B40" t="s">
        <v>1083</v>
      </c>
      <c r="C40" t="s">
        <v>281</v>
      </c>
      <c r="D40" t="s">
        <v>1002</v>
      </c>
      <c r="E40">
        <v>-110</v>
      </c>
      <c r="F40" t="s">
        <v>1026</v>
      </c>
      <c r="G40" t="s">
        <v>1084</v>
      </c>
      <c r="H40" t="s">
        <v>988</v>
      </c>
      <c r="I40" t="s">
        <v>1057</v>
      </c>
      <c r="J40" t="s">
        <v>987</v>
      </c>
      <c r="K40" t="b">
        <v>1</v>
      </c>
      <c r="L40" t="b">
        <v>0</v>
      </c>
      <c r="M40" t="s">
        <v>987</v>
      </c>
      <c r="N40" t="s">
        <v>1029</v>
      </c>
      <c r="O40" t="s">
        <v>990</v>
      </c>
      <c r="P40" t="s">
        <v>1030</v>
      </c>
      <c r="Q40" t="s">
        <v>1075</v>
      </c>
    </row>
    <row r="41" spans="1:17" x14ac:dyDescent="0.25">
      <c r="A41" t="s">
        <v>42</v>
      </c>
      <c r="B41" t="s">
        <v>1085</v>
      </c>
      <c r="C41" t="s">
        <v>281</v>
      </c>
      <c r="D41" t="s">
        <v>1004</v>
      </c>
      <c r="E41">
        <v>-241</v>
      </c>
      <c r="F41" t="s">
        <v>1026</v>
      </c>
      <c r="G41" t="s">
        <v>1086</v>
      </c>
      <c r="H41" t="s">
        <v>988</v>
      </c>
      <c r="I41" t="s">
        <v>1060</v>
      </c>
      <c r="J41" t="s">
        <v>987</v>
      </c>
      <c r="K41" t="b">
        <v>1</v>
      </c>
      <c r="L41" t="b">
        <v>0</v>
      </c>
      <c r="M41" t="s">
        <v>987</v>
      </c>
      <c r="N41" t="s">
        <v>1029</v>
      </c>
      <c r="O41" t="s">
        <v>990</v>
      </c>
      <c r="P41" t="s">
        <v>1030</v>
      </c>
      <c r="Q41" t="s">
        <v>1075</v>
      </c>
    </row>
    <row r="42" spans="1:17" x14ac:dyDescent="0.25">
      <c r="A42" t="s">
        <v>42</v>
      </c>
      <c r="B42" t="s">
        <v>1087</v>
      </c>
      <c r="C42" t="s">
        <v>281</v>
      </c>
      <c r="D42" t="s">
        <v>1006</v>
      </c>
      <c r="E42">
        <v>-83</v>
      </c>
      <c r="F42" t="s">
        <v>1026</v>
      </c>
      <c r="G42" t="s">
        <v>1088</v>
      </c>
      <c r="H42" t="s">
        <v>988</v>
      </c>
      <c r="I42" t="s">
        <v>987</v>
      </c>
      <c r="J42" t="s">
        <v>987</v>
      </c>
      <c r="K42" t="b">
        <v>1</v>
      </c>
      <c r="L42" t="b">
        <v>0</v>
      </c>
      <c r="M42" t="s">
        <v>987</v>
      </c>
      <c r="N42" t="s">
        <v>1029</v>
      </c>
      <c r="O42" t="s">
        <v>990</v>
      </c>
      <c r="P42" t="s">
        <v>1030</v>
      </c>
      <c r="Q42" t="s">
        <v>1089</v>
      </c>
    </row>
    <row r="43" spans="1:17" x14ac:dyDescent="0.25">
      <c r="A43" t="s">
        <v>42</v>
      </c>
      <c r="B43" t="s">
        <v>1090</v>
      </c>
      <c r="C43" t="s">
        <v>281</v>
      </c>
      <c r="D43" t="s">
        <v>1008</v>
      </c>
      <c r="E43">
        <v>-143</v>
      </c>
      <c r="F43" t="s">
        <v>1026</v>
      </c>
      <c r="G43" t="s">
        <v>1091</v>
      </c>
      <c r="H43" t="s">
        <v>988</v>
      </c>
      <c r="I43" t="s">
        <v>1066</v>
      </c>
      <c r="J43" t="s">
        <v>987</v>
      </c>
      <c r="K43" t="b">
        <v>1</v>
      </c>
      <c r="L43" t="b">
        <v>0</v>
      </c>
      <c r="M43" t="s">
        <v>987</v>
      </c>
      <c r="N43" t="s">
        <v>1029</v>
      </c>
      <c r="O43" t="s">
        <v>990</v>
      </c>
      <c r="P43" t="s">
        <v>1030</v>
      </c>
      <c r="Q43" t="s">
        <v>1075</v>
      </c>
    </row>
    <row r="44" spans="1:17" x14ac:dyDescent="0.25">
      <c r="A44" t="s">
        <v>42</v>
      </c>
      <c r="B44" t="s">
        <v>1092</v>
      </c>
      <c r="C44" t="s">
        <v>281</v>
      </c>
      <c r="D44" t="s">
        <v>1010</v>
      </c>
      <c r="E44">
        <v>-120</v>
      </c>
      <c r="F44" t="s">
        <v>1026</v>
      </c>
      <c r="G44" t="s">
        <v>1093</v>
      </c>
      <c r="H44" t="s">
        <v>988</v>
      </c>
      <c r="I44" t="s">
        <v>1057</v>
      </c>
      <c r="J44" t="s">
        <v>987</v>
      </c>
      <c r="K44" t="b">
        <v>1</v>
      </c>
      <c r="L44" t="b">
        <v>0</v>
      </c>
      <c r="M44" t="s">
        <v>987</v>
      </c>
      <c r="N44" t="s">
        <v>1029</v>
      </c>
      <c r="O44" t="s">
        <v>990</v>
      </c>
      <c r="P44" t="s">
        <v>1030</v>
      </c>
      <c r="Q44" t="s">
        <v>1075</v>
      </c>
    </row>
    <row r="45" spans="1:17" x14ac:dyDescent="0.25">
      <c r="A45" t="s">
        <v>42</v>
      </c>
      <c r="B45" t="s">
        <v>1094</v>
      </c>
      <c r="C45" t="s">
        <v>281</v>
      </c>
      <c r="D45" t="s">
        <v>1012</v>
      </c>
      <c r="E45">
        <v>-133</v>
      </c>
      <c r="F45" t="s">
        <v>1026</v>
      </c>
      <c r="G45" t="s">
        <v>1095</v>
      </c>
      <c r="H45" t="s">
        <v>988</v>
      </c>
      <c r="I45" t="s">
        <v>1060</v>
      </c>
      <c r="J45" t="s">
        <v>987</v>
      </c>
      <c r="K45" t="b">
        <v>1</v>
      </c>
      <c r="L45" t="b">
        <v>0</v>
      </c>
      <c r="M45" t="s">
        <v>987</v>
      </c>
      <c r="N45" t="s">
        <v>1029</v>
      </c>
      <c r="O45" t="s">
        <v>990</v>
      </c>
      <c r="P45" t="s">
        <v>1030</v>
      </c>
      <c r="Q45" t="s">
        <v>1075</v>
      </c>
    </row>
    <row r="46" spans="1:17" x14ac:dyDescent="0.25">
      <c r="A46" t="s">
        <v>42</v>
      </c>
      <c r="B46" t="s">
        <v>1096</v>
      </c>
      <c r="C46" t="s">
        <v>281</v>
      </c>
      <c r="D46" t="s">
        <v>1014</v>
      </c>
      <c r="E46">
        <v>-37</v>
      </c>
      <c r="F46" t="s">
        <v>1026</v>
      </c>
      <c r="G46" t="s">
        <v>1097</v>
      </c>
      <c r="H46" t="s">
        <v>988</v>
      </c>
      <c r="I46" t="s">
        <v>987</v>
      </c>
      <c r="J46" t="s">
        <v>987</v>
      </c>
      <c r="K46" t="b">
        <v>1</v>
      </c>
      <c r="L46" t="b">
        <v>0</v>
      </c>
      <c r="M46" t="s">
        <v>987</v>
      </c>
      <c r="N46" t="s">
        <v>1029</v>
      </c>
      <c r="O46" t="s">
        <v>990</v>
      </c>
      <c r="P46" t="s">
        <v>1030</v>
      </c>
      <c r="Q46" t="s">
        <v>1098</v>
      </c>
    </row>
    <row r="47" spans="1:17" x14ac:dyDescent="0.25">
      <c r="A47" t="s">
        <v>42</v>
      </c>
      <c r="B47" t="s">
        <v>1099</v>
      </c>
      <c r="C47" t="s">
        <v>281</v>
      </c>
      <c r="D47" t="s">
        <v>1016</v>
      </c>
      <c r="E47">
        <v>-226</v>
      </c>
      <c r="F47" t="s">
        <v>1026</v>
      </c>
      <c r="G47" t="s">
        <v>1100</v>
      </c>
      <c r="H47" t="s">
        <v>988</v>
      </c>
      <c r="I47" t="s">
        <v>1066</v>
      </c>
      <c r="J47" t="s">
        <v>987</v>
      </c>
      <c r="K47" t="b">
        <v>1</v>
      </c>
      <c r="L47" t="b">
        <v>0</v>
      </c>
      <c r="M47" t="s">
        <v>987</v>
      </c>
      <c r="N47" t="s">
        <v>1029</v>
      </c>
      <c r="O47" t="s">
        <v>990</v>
      </c>
      <c r="P47" t="s">
        <v>1030</v>
      </c>
      <c r="Q47" t="s">
        <v>1075</v>
      </c>
    </row>
    <row r="48" spans="1:17" x14ac:dyDescent="0.25">
      <c r="A48" t="s">
        <v>42</v>
      </c>
      <c r="B48" t="s">
        <v>1101</v>
      </c>
      <c r="C48" t="s">
        <v>284</v>
      </c>
      <c r="D48" t="s">
        <v>996</v>
      </c>
      <c r="E48">
        <v>209.82</v>
      </c>
      <c r="F48" t="s">
        <v>1018</v>
      </c>
      <c r="G48" t="s">
        <v>987</v>
      </c>
      <c r="H48" t="s">
        <v>988</v>
      </c>
      <c r="I48" t="s">
        <v>987</v>
      </c>
      <c r="J48" t="s">
        <v>987</v>
      </c>
      <c r="K48" t="b">
        <v>0</v>
      </c>
      <c r="L48" t="b">
        <v>1</v>
      </c>
      <c r="M48" t="s">
        <v>1020</v>
      </c>
      <c r="N48" t="s">
        <v>989</v>
      </c>
      <c r="O48" t="s">
        <v>1021</v>
      </c>
      <c r="P48" t="s">
        <v>1022</v>
      </c>
      <c r="Q48" t="s">
        <v>1023</v>
      </c>
    </row>
    <row r="49" spans="1:17" x14ac:dyDescent="0.25">
      <c r="A49" t="s">
        <v>42</v>
      </c>
      <c r="B49" t="s">
        <v>1102</v>
      </c>
      <c r="C49" t="s">
        <v>285</v>
      </c>
      <c r="D49" t="s">
        <v>985</v>
      </c>
      <c r="E49">
        <v>0</v>
      </c>
      <c r="F49" t="s">
        <v>1103</v>
      </c>
      <c r="G49" t="s">
        <v>1104</v>
      </c>
      <c r="H49" t="s">
        <v>988</v>
      </c>
      <c r="I49" t="s">
        <v>987</v>
      </c>
      <c r="J49" t="s">
        <v>987</v>
      </c>
      <c r="K49" t="b">
        <v>1</v>
      </c>
      <c r="L49" t="b">
        <v>0</v>
      </c>
      <c r="M49" t="s">
        <v>987</v>
      </c>
      <c r="N49" t="s">
        <v>1029</v>
      </c>
      <c r="O49" t="s">
        <v>990</v>
      </c>
      <c r="P49" t="s">
        <v>1030</v>
      </c>
      <c r="Q49" t="s">
        <v>1105</v>
      </c>
    </row>
    <row r="50" spans="1:17" x14ac:dyDescent="0.25">
      <c r="A50" t="s">
        <v>42</v>
      </c>
      <c r="B50" t="s">
        <v>1106</v>
      </c>
      <c r="C50" t="s">
        <v>285</v>
      </c>
      <c r="D50" t="s">
        <v>994</v>
      </c>
      <c r="E50">
        <v>0</v>
      </c>
      <c r="F50" t="s">
        <v>1103</v>
      </c>
      <c r="G50" t="s">
        <v>1104</v>
      </c>
      <c r="H50" t="s">
        <v>988</v>
      </c>
      <c r="I50" t="s">
        <v>987</v>
      </c>
      <c r="J50" t="s">
        <v>987</v>
      </c>
      <c r="K50" t="b">
        <v>1</v>
      </c>
      <c r="L50" t="b">
        <v>0</v>
      </c>
      <c r="M50" t="s">
        <v>987</v>
      </c>
      <c r="N50" t="s">
        <v>1029</v>
      </c>
      <c r="O50" t="s">
        <v>990</v>
      </c>
      <c r="P50" t="s">
        <v>1030</v>
      </c>
      <c r="Q50" t="s">
        <v>1105</v>
      </c>
    </row>
    <row r="51" spans="1:17" x14ac:dyDescent="0.25">
      <c r="A51" t="s">
        <v>42</v>
      </c>
      <c r="B51" t="s">
        <v>1107</v>
      </c>
      <c r="C51" t="s">
        <v>285</v>
      </c>
      <c r="D51" t="s">
        <v>996</v>
      </c>
      <c r="E51">
        <v>0</v>
      </c>
      <c r="F51" t="s">
        <v>1103</v>
      </c>
      <c r="G51" t="s">
        <v>1104</v>
      </c>
      <c r="H51" t="s">
        <v>988</v>
      </c>
      <c r="I51" t="s">
        <v>987</v>
      </c>
      <c r="J51" t="s">
        <v>987</v>
      </c>
      <c r="K51" t="b">
        <v>1</v>
      </c>
      <c r="L51" t="b">
        <v>0</v>
      </c>
      <c r="M51" t="s">
        <v>987</v>
      </c>
      <c r="N51" t="s">
        <v>1029</v>
      </c>
      <c r="O51" t="s">
        <v>990</v>
      </c>
      <c r="P51" t="s">
        <v>1030</v>
      </c>
      <c r="Q51" t="s">
        <v>1105</v>
      </c>
    </row>
    <row r="52" spans="1:17" x14ac:dyDescent="0.25">
      <c r="A52" t="s">
        <v>42</v>
      </c>
      <c r="B52" t="s">
        <v>1108</v>
      </c>
      <c r="C52" t="s">
        <v>285</v>
      </c>
      <c r="D52" t="s">
        <v>998</v>
      </c>
      <c r="E52">
        <v>0</v>
      </c>
      <c r="F52" t="s">
        <v>1103</v>
      </c>
      <c r="G52" t="s">
        <v>1104</v>
      </c>
      <c r="H52" t="s">
        <v>988</v>
      </c>
      <c r="I52" t="s">
        <v>987</v>
      </c>
      <c r="J52" t="s">
        <v>987</v>
      </c>
      <c r="K52" t="b">
        <v>1</v>
      </c>
      <c r="L52" t="b">
        <v>0</v>
      </c>
      <c r="M52" t="s">
        <v>987</v>
      </c>
      <c r="N52" t="s">
        <v>1029</v>
      </c>
      <c r="O52" t="s">
        <v>990</v>
      </c>
      <c r="P52" t="s">
        <v>1030</v>
      </c>
      <c r="Q52" t="s">
        <v>1105</v>
      </c>
    </row>
    <row r="53" spans="1:17" x14ac:dyDescent="0.25">
      <c r="A53" t="s">
        <v>42</v>
      </c>
      <c r="B53" t="s">
        <v>1109</v>
      </c>
      <c r="C53" t="s">
        <v>285</v>
      </c>
      <c r="D53" t="s">
        <v>1000</v>
      </c>
      <c r="E53">
        <v>0</v>
      </c>
      <c r="F53" t="s">
        <v>1103</v>
      </c>
      <c r="G53" t="s">
        <v>1104</v>
      </c>
      <c r="H53" t="s">
        <v>988</v>
      </c>
      <c r="I53" t="s">
        <v>987</v>
      </c>
      <c r="J53" t="s">
        <v>987</v>
      </c>
      <c r="K53" t="b">
        <v>1</v>
      </c>
      <c r="L53" t="b">
        <v>0</v>
      </c>
      <c r="M53" t="s">
        <v>987</v>
      </c>
      <c r="N53" t="s">
        <v>1029</v>
      </c>
      <c r="O53" t="s">
        <v>990</v>
      </c>
      <c r="P53" t="s">
        <v>1030</v>
      </c>
      <c r="Q53" t="s">
        <v>1105</v>
      </c>
    </row>
    <row r="54" spans="1:17" x14ac:dyDescent="0.25">
      <c r="A54" t="s">
        <v>42</v>
      </c>
      <c r="B54" t="s">
        <v>1110</v>
      </c>
      <c r="C54" t="s">
        <v>285</v>
      </c>
      <c r="D54" t="s">
        <v>1002</v>
      </c>
      <c r="E54">
        <v>0</v>
      </c>
      <c r="F54" t="s">
        <v>1103</v>
      </c>
      <c r="G54" t="s">
        <v>1104</v>
      </c>
      <c r="H54" t="s">
        <v>988</v>
      </c>
      <c r="I54" t="s">
        <v>987</v>
      </c>
      <c r="J54" t="s">
        <v>987</v>
      </c>
      <c r="K54" t="b">
        <v>1</v>
      </c>
      <c r="L54" t="b">
        <v>0</v>
      </c>
      <c r="M54" t="s">
        <v>987</v>
      </c>
      <c r="N54" t="s">
        <v>1029</v>
      </c>
      <c r="O54" t="s">
        <v>990</v>
      </c>
      <c r="P54" t="s">
        <v>1030</v>
      </c>
      <c r="Q54" t="s">
        <v>1105</v>
      </c>
    </row>
    <row r="55" spans="1:17" x14ac:dyDescent="0.25">
      <c r="A55" t="s">
        <v>42</v>
      </c>
      <c r="B55" t="s">
        <v>1111</v>
      </c>
      <c r="C55" t="s">
        <v>285</v>
      </c>
      <c r="D55" t="s">
        <v>1004</v>
      </c>
      <c r="E55">
        <v>0</v>
      </c>
      <c r="F55" t="s">
        <v>1103</v>
      </c>
      <c r="G55" t="s">
        <v>1104</v>
      </c>
      <c r="H55" t="s">
        <v>988</v>
      </c>
      <c r="I55" t="s">
        <v>987</v>
      </c>
      <c r="J55" t="s">
        <v>987</v>
      </c>
      <c r="K55" t="b">
        <v>1</v>
      </c>
      <c r="L55" t="b">
        <v>0</v>
      </c>
      <c r="M55" t="s">
        <v>987</v>
      </c>
      <c r="N55" t="s">
        <v>1029</v>
      </c>
      <c r="O55" t="s">
        <v>990</v>
      </c>
      <c r="P55" t="s">
        <v>1030</v>
      </c>
      <c r="Q55" t="s">
        <v>1105</v>
      </c>
    </row>
    <row r="56" spans="1:17" x14ac:dyDescent="0.25">
      <c r="A56" t="s">
        <v>42</v>
      </c>
      <c r="B56" t="s">
        <v>1112</v>
      </c>
      <c r="C56" t="s">
        <v>285</v>
      </c>
      <c r="D56" t="s">
        <v>1006</v>
      </c>
      <c r="E56">
        <v>0</v>
      </c>
      <c r="F56" t="s">
        <v>1103</v>
      </c>
      <c r="G56" t="s">
        <v>1104</v>
      </c>
      <c r="H56" t="s">
        <v>988</v>
      </c>
      <c r="I56" t="s">
        <v>987</v>
      </c>
      <c r="J56" t="s">
        <v>987</v>
      </c>
      <c r="K56" t="b">
        <v>1</v>
      </c>
      <c r="L56" t="b">
        <v>0</v>
      </c>
      <c r="M56" t="s">
        <v>987</v>
      </c>
      <c r="N56" t="s">
        <v>1029</v>
      </c>
      <c r="O56" t="s">
        <v>990</v>
      </c>
      <c r="P56" t="s">
        <v>1030</v>
      </c>
      <c r="Q56" t="s">
        <v>1105</v>
      </c>
    </row>
    <row r="57" spans="1:17" x14ac:dyDescent="0.25">
      <c r="A57" t="s">
        <v>42</v>
      </c>
      <c r="B57" t="s">
        <v>1113</v>
      </c>
      <c r="C57" t="s">
        <v>285</v>
      </c>
      <c r="D57" t="s">
        <v>1016</v>
      </c>
      <c r="E57">
        <v>0</v>
      </c>
      <c r="F57" t="s">
        <v>1103</v>
      </c>
      <c r="G57" t="s">
        <v>1104</v>
      </c>
      <c r="H57" t="s">
        <v>988</v>
      </c>
      <c r="I57" t="s">
        <v>987</v>
      </c>
      <c r="J57" t="s">
        <v>987</v>
      </c>
      <c r="K57" t="b">
        <v>1</v>
      </c>
      <c r="L57" t="b">
        <v>0</v>
      </c>
      <c r="M57" t="s">
        <v>987</v>
      </c>
      <c r="N57" t="s">
        <v>1029</v>
      </c>
      <c r="O57" t="s">
        <v>990</v>
      </c>
      <c r="P57" t="s">
        <v>1030</v>
      </c>
      <c r="Q57" t="s">
        <v>1105</v>
      </c>
    </row>
    <row r="58" spans="1:17" x14ac:dyDescent="0.25">
      <c r="A58" t="s">
        <v>42</v>
      </c>
      <c r="B58" t="s">
        <v>1114</v>
      </c>
      <c r="C58" t="s">
        <v>285</v>
      </c>
      <c r="D58" t="s">
        <v>1115</v>
      </c>
      <c r="E58">
        <v>0</v>
      </c>
      <c r="F58" t="s">
        <v>1103</v>
      </c>
      <c r="G58" t="s">
        <v>1104</v>
      </c>
      <c r="H58" t="s">
        <v>988</v>
      </c>
      <c r="I58" t="s">
        <v>987</v>
      </c>
      <c r="J58" t="s">
        <v>987</v>
      </c>
      <c r="K58" t="b">
        <v>1</v>
      </c>
      <c r="L58" t="b">
        <v>0</v>
      </c>
      <c r="M58" t="s">
        <v>987</v>
      </c>
      <c r="N58" t="s">
        <v>1029</v>
      </c>
      <c r="O58" t="s">
        <v>990</v>
      </c>
      <c r="P58" t="s">
        <v>1030</v>
      </c>
      <c r="Q58" t="s">
        <v>1105</v>
      </c>
    </row>
    <row r="59" spans="1:17" x14ac:dyDescent="0.25">
      <c r="A59" t="s">
        <v>42</v>
      </c>
      <c r="B59" t="s">
        <v>1116</v>
      </c>
      <c r="C59" t="s">
        <v>286</v>
      </c>
      <c r="D59" t="s">
        <v>985</v>
      </c>
      <c r="E59">
        <v>-153</v>
      </c>
      <c r="F59" t="s">
        <v>1103</v>
      </c>
      <c r="G59" t="s">
        <v>1117</v>
      </c>
      <c r="H59" t="s">
        <v>988</v>
      </c>
      <c r="I59" t="s">
        <v>1028</v>
      </c>
      <c r="J59" t="s">
        <v>987</v>
      </c>
      <c r="K59" t="b">
        <v>1</v>
      </c>
      <c r="L59" t="b">
        <v>0</v>
      </c>
      <c r="M59" t="s">
        <v>987</v>
      </c>
      <c r="N59" t="s">
        <v>1029</v>
      </c>
      <c r="O59" t="s">
        <v>990</v>
      </c>
      <c r="P59" t="s">
        <v>1030</v>
      </c>
      <c r="Q59" t="s">
        <v>1118</v>
      </c>
    </row>
    <row r="60" spans="1:17" x14ac:dyDescent="0.25">
      <c r="A60" t="s">
        <v>42</v>
      </c>
      <c r="B60" t="s">
        <v>1119</v>
      </c>
      <c r="C60" t="s">
        <v>286</v>
      </c>
      <c r="D60" t="s">
        <v>994</v>
      </c>
      <c r="E60">
        <v>-170</v>
      </c>
      <c r="F60" t="s">
        <v>1103</v>
      </c>
      <c r="G60" t="s">
        <v>1120</v>
      </c>
      <c r="H60" t="s">
        <v>988</v>
      </c>
      <c r="I60" t="s">
        <v>1045</v>
      </c>
      <c r="J60" t="s">
        <v>987</v>
      </c>
      <c r="K60" t="b">
        <v>1</v>
      </c>
      <c r="L60" t="b">
        <v>0</v>
      </c>
      <c r="M60" t="s">
        <v>987</v>
      </c>
      <c r="N60" t="s">
        <v>1029</v>
      </c>
      <c r="O60" t="s">
        <v>990</v>
      </c>
      <c r="P60" t="s">
        <v>1030</v>
      </c>
      <c r="Q60" t="s">
        <v>1118</v>
      </c>
    </row>
    <row r="61" spans="1:17" x14ac:dyDescent="0.25">
      <c r="A61" t="s">
        <v>42</v>
      </c>
      <c r="B61" t="s">
        <v>1121</v>
      </c>
      <c r="C61" t="s">
        <v>286</v>
      </c>
      <c r="D61" t="s">
        <v>996</v>
      </c>
      <c r="E61">
        <v>-165</v>
      </c>
      <c r="F61" t="s">
        <v>1103</v>
      </c>
      <c r="G61" t="s">
        <v>1122</v>
      </c>
      <c r="H61" t="s">
        <v>988</v>
      </c>
      <c r="I61" t="s">
        <v>1048</v>
      </c>
      <c r="J61" t="s">
        <v>987</v>
      </c>
      <c r="K61" t="b">
        <v>1</v>
      </c>
      <c r="L61" t="b">
        <v>0</v>
      </c>
      <c r="M61" t="s">
        <v>987</v>
      </c>
      <c r="N61" t="s">
        <v>1029</v>
      </c>
      <c r="O61" t="s">
        <v>990</v>
      </c>
      <c r="P61" t="s">
        <v>1030</v>
      </c>
      <c r="Q61" t="s">
        <v>1118</v>
      </c>
    </row>
    <row r="62" spans="1:17" x14ac:dyDescent="0.25">
      <c r="A62" t="s">
        <v>42</v>
      </c>
      <c r="B62" t="s">
        <v>1123</v>
      </c>
      <c r="C62" t="s">
        <v>286</v>
      </c>
      <c r="D62" t="s">
        <v>998</v>
      </c>
      <c r="E62">
        <v>-212</v>
      </c>
      <c r="F62" t="s">
        <v>1103</v>
      </c>
      <c r="G62" t="s">
        <v>1124</v>
      </c>
      <c r="H62" t="s">
        <v>988</v>
      </c>
      <c r="I62" t="s">
        <v>987</v>
      </c>
      <c r="J62" t="s">
        <v>987</v>
      </c>
      <c r="K62" t="b">
        <v>1</v>
      </c>
      <c r="L62" t="b">
        <v>0</v>
      </c>
      <c r="M62" t="s">
        <v>987</v>
      </c>
      <c r="N62" t="s">
        <v>1029</v>
      </c>
      <c r="O62" t="s">
        <v>990</v>
      </c>
      <c r="P62" t="s">
        <v>1030</v>
      </c>
      <c r="Q62" t="s">
        <v>1125</v>
      </c>
    </row>
    <row r="63" spans="1:17" x14ac:dyDescent="0.25">
      <c r="A63" t="s">
        <v>42</v>
      </c>
      <c r="B63" t="s">
        <v>1126</v>
      </c>
      <c r="C63" t="s">
        <v>286</v>
      </c>
      <c r="D63" t="s">
        <v>1008</v>
      </c>
      <c r="E63">
        <v>-216</v>
      </c>
      <c r="F63" t="s">
        <v>1103</v>
      </c>
      <c r="G63" t="s">
        <v>1127</v>
      </c>
      <c r="H63" t="s">
        <v>988</v>
      </c>
      <c r="I63" t="s">
        <v>1066</v>
      </c>
      <c r="J63" t="s">
        <v>987</v>
      </c>
      <c r="K63" t="b">
        <v>1</v>
      </c>
      <c r="L63" t="b">
        <v>0</v>
      </c>
      <c r="M63" t="s">
        <v>987</v>
      </c>
      <c r="N63" t="s">
        <v>1029</v>
      </c>
      <c r="O63" t="s">
        <v>990</v>
      </c>
      <c r="P63" t="s">
        <v>1030</v>
      </c>
      <c r="Q63" t="s">
        <v>1118</v>
      </c>
    </row>
    <row r="64" spans="1:17" x14ac:dyDescent="0.25">
      <c r="A64" t="s">
        <v>42</v>
      </c>
      <c r="B64" t="s">
        <v>1128</v>
      </c>
      <c r="C64" t="s">
        <v>286</v>
      </c>
      <c r="D64" t="s">
        <v>1010</v>
      </c>
      <c r="E64">
        <v>-234</v>
      </c>
      <c r="F64" t="s">
        <v>1103</v>
      </c>
      <c r="G64" t="s">
        <v>1129</v>
      </c>
      <c r="H64" t="s">
        <v>988</v>
      </c>
      <c r="I64" t="s">
        <v>1057</v>
      </c>
      <c r="J64" t="s">
        <v>987</v>
      </c>
      <c r="K64" t="b">
        <v>1</v>
      </c>
      <c r="L64" t="b">
        <v>0</v>
      </c>
      <c r="M64" t="s">
        <v>987</v>
      </c>
      <c r="N64" t="s">
        <v>1029</v>
      </c>
      <c r="O64" t="s">
        <v>990</v>
      </c>
      <c r="P64" t="s">
        <v>1030</v>
      </c>
      <c r="Q64" t="s">
        <v>1118</v>
      </c>
    </row>
    <row r="65" spans="1:17" x14ac:dyDescent="0.25">
      <c r="A65" t="s">
        <v>42</v>
      </c>
      <c r="B65" t="s">
        <v>1130</v>
      </c>
      <c r="C65" t="s">
        <v>286</v>
      </c>
      <c r="D65" t="s">
        <v>1012</v>
      </c>
      <c r="E65">
        <v>-237</v>
      </c>
      <c r="F65" t="s">
        <v>1103</v>
      </c>
      <c r="G65" t="s">
        <v>1131</v>
      </c>
      <c r="H65" t="s">
        <v>988</v>
      </c>
      <c r="I65" t="s">
        <v>1060</v>
      </c>
      <c r="J65" t="s">
        <v>987</v>
      </c>
      <c r="K65" t="b">
        <v>1</v>
      </c>
      <c r="L65" t="b">
        <v>0</v>
      </c>
      <c r="M65" t="s">
        <v>987</v>
      </c>
      <c r="N65" t="s">
        <v>1029</v>
      </c>
      <c r="O65" t="s">
        <v>990</v>
      </c>
      <c r="P65" t="s">
        <v>1030</v>
      </c>
      <c r="Q65" t="s">
        <v>1118</v>
      </c>
    </row>
    <row r="66" spans="1:17" x14ac:dyDescent="0.25">
      <c r="A66" t="s">
        <v>42</v>
      </c>
      <c r="B66" t="s">
        <v>1132</v>
      </c>
      <c r="C66" t="s">
        <v>286</v>
      </c>
      <c r="D66" t="s">
        <v>1014</v>
      </c>
      <c r="E66">
        <v>-273</v>
      </c>
      <c r="F66" t="s">
        <v>1103</v>
      </c>
      <c r="G66" t="s">
        <v>1133</v>
      </c>
      <c r="H66" t="s">
        <v>988</v>
      </c>
      <c r="I66" t="s">
        <v>987</v>
      </c>
      <c r="J66" t="s">
        <v>987</v>
      </c>
      <c r="K66" t="b">
        <v>1</v>
      </c>
      <c r="L66" t="b">
        <v>0</v>
      </c>
      <c r="M66" t="s">
        <v>987</v>
      </c>
      <c r="N66" t="s">
        <v>1029</v>
      </c>
      <c r="O66" t="s">
        <v>990</v>
      </c>
      <c r="P66" t="s">
        <v>1030</v>
      </c>
      <c r="Q66" t="s">
        <v>1134</v>
      </c>
    </row>
    <row r="67" spans="1:17" x14ac:dyDescent="0.25">
      <c r="A67" t="s">
        <v>42</v>
      </c>
      <c r="B67" t="s">
        <v>1135</v>
      </c>
      <c r="C67" t="s">
        <v>330</v>
      </c>
      <c r="D67" t="s">
        <v>985</v>
      </c>
      <c r="E67">
        <v>1770</v>
      </c>
      <c r="F67" t="s">
        <v>1018</v>
      </c>
      <c r="G67" t="s">
        <v>1136</v>
      </c>
      <c r="H67" t="s">
        <v>1137</v>
      </c>
      <c r="I67" t="s">
        <v>987</v>
      </c>
      <c r="J67" t="s">
        <v>987</v>
      </c>
      <c r="K67" t="b">
        <v>0</v>
      </c>
      <c r="L67" t="b">
        <v>1</v>
      </c>
      <c r="M67" t="s">
        <v>1020</v>
      </c>
      <c r="N67" t="s">
        <v>989</v>
      </c>
      <c r="O67" t="s">
        <v>1021</v>
      </c>
      <c r="P67" t="s">
        <v>1022</v>
      </c>
      <c r="Q67" t="s">
        <v>1023</v>
      </c>
    </row>
    <row r="68" spans="1:17" x14ac:dyDescent="0.25">
      <c r="A68" t="s">
        <v>42</v>
      </c>
      <c r="B68" t="s">
        <v>1138</v>
      </c>
      <c r="C68" t="s">
        <v>330</v>
      </c>
      <c r="D68" t="s">
        <v>994</v>
      </c>
      <c r="E68">
        <v>2642</v>
      </c>
      <c r="F68" t="s">
        <v>1018</v>
      </c>
      <c r="G68" t="s">
        <v>1136</v>
      </c>
      <c r="H68" t="s">
        <v>1137</v>
      </c>
      <c r="I68" t="s">
        <v>987</v>
      </c>
      <c r="J68" t="s">
        <v>987</v>
      </c>
      <c r="K68" t="b">
        <v>0</v>
      </c>
      <c r="L68" t="b">
        <v>1</v>
      </c>
      <c r="M68" t="s">
        <v>1020</v>
      </c>
      <c r="N68" t="s">
        <v>989</v>
      </c>
      <c r="O68" t="s">
        <v>1021</v>
      </c>
      <c r="P68" t="s">
        <v>1022</v>
      </c>
      <c r="Q68" t="s">
        <v>1023</v>
      </c>
    </row>
    <row r="69" spans="1:17" x14ac:dyDescent="0.25">
      <c r="A69" t="s">
        <v>42</v>
      </c>
      <c r="B69" t="s">
        <v>1139</v>
      </c>
      <c r="C69" t="s">
        <v>330</v>
      </c>
      <c r="D69" t="s">
        <v>996</v>
      </c>
      <c r="E69">
        <v>1876</v>
      </c>
      <c r="F69" t="s">
        <v>1018</v>
      </c>
      <c r="G69" t="s">
        <v>1136</v>
      </c>
      <c r="H69" t="s">
        <v>1137</v>
      </c>
      <c r="I69" t="s">
        <v>987</v>
      </c>
      <c r="J69" t="s">
        <v>987</v>
      </c>
      <c r="K69" t="b">
        <v>0</v>
      </c>
      <c r="L69" t="b">
        <v>1</v>
      </c>
      <c r="M69" t="s">
        <v>1020</v>
      </c>
      <c r="N69" t="s">
        <v>989</v>
      </c>
      <c r="O69" t="s">
        <v>1021</v>
      </c>
      <c r="P69" t="s">
        <v>1022</v>
      </c>
      <c r="Q69" t="s">
        <v>1023</v>
      </c>
    </row>
    <row r="70" spans="1:17" x14ac:dyDescent="0.25">
      <c r="A70" t="s">
        <v>42</v>
      </c>
      <c r="B70" t="s">
        <v>1140</v>
      </c>
      <c r="C70" t="s">
        <v>330</v>
      </c>
      <c r="D70" t="s">
        <v>998</v>
      </c>
      <c r="E70">
        <v>729</v>
      </c>
      <c r="F70" t="s">
        <v>1018</v>
      </c>
      <c r="G70" t="s">
        <v>1136</v>
      </c>
      <c r="H70" t="s">
        <v>1137</v>
      </c>
      <c r="I70" t="s">
        <v>987</v>
      </c>
      <c r="J70" t="s">
        <v>987</v>
      </c>
      <c r="K70" t="b">
        <v>0</v>
      </c>
      <c r="L70" t="b">
        <v>1</v>
      </c>
      <c r="M70" t="s">
        <v>1020</v>
      </c>
      <c r="N70" t="s">
        <v>989</v>
      </c>
      <c r="O70" t="s">
        <v>1021</v>
      </c>
      <c r="P70" t="s">
        <v>1022</v>
      </c>
      <c r="Q70" t="s">
        <v>1023</v>
      </c>
    </row>
    <row r="71" spans="1:17" x14ac:dyDescent="0.25">
      <c r="A71" t="s">
        <v>42</v>
      </c>
      <c r="B71" t="s">
        <v>1141</v>
      </c>
      <c r="C71" t="s">
        <v>330</v>
      </c>
      <c r="D71" t="s">
        <v>1000</v>
      </c>
      <c r="E71">
        <v>3163</v>
      </c>
      <c r="F71" t="s">
        <v>1018</v>
      </c>
      <c r="G71" t="s">
        <v>1136</v>
      </c>
      <c r="H71" t="s">
        <v>1137</v>
      </c>
      <c r="I71" t="s">
        <v>987</v>
      </c>
      <c r="J71" t="s">
        <v>987</v>
      </c>
      <c r="K71" t="b">
        <v>0</v>
      </c>
      <c r="L71" t="b">
        <v>1</v>
      </c>
      <c r="M71" t="s">
        <v>1020</v>
      </c>
      <c r="N71" t="s">
        <v>989</v>
      </c>
      <c r="O71" t="s">
        <v>1021</v>
      </c>
      <c r="P71" t="s">
        <v>1022</v>
      </c>
      <c r="Q71" t="s">
        <v>1023</v>
      </c>
    </row>
    <row r="72" spans="1:17" x14ac:dyDescent="0.25">
      <c r="A72" t="s">
        <v>42</v>
      </c>
      <c r="B72" t="s">
        <v>1142</v>
      </c>
      <c r="C72" t="s">
        <v>330</v>
      </c>
      <c r="D72" t="s">
        <v>1002</v>
      </c>
      <c r="E72">
        <v>2071</v>
      </c>
      <c r="F72" t="s">
        <v>1018</v>
      </c>
      <c r="G72" t="s">
        <v>1136</v>
      </c>
      <c r="H72" t="s">
        <v>1137</v>
      </c>
      <c r="I72" t="s">
        <v>987</v>
      </c>
      <c r="J72" t="s">
        <v>987</v>
      </c>
      <c r="K72" t="b">
        <v>0</v>
      </c>
      <c r="L72" t="b">
        <v>1</v>
      </c>
      <c r="M72" t="s">
        <v>1020</v>
      </c>
      <c r="N72" t="s">
        <v>989</v>
      </c>
      <c r="O72" t="s">
        <v>1021</v>
      </c>
      <c r="P72" t="s">
        <v>1022</v>
      </c>
      <c r="Q72" t="s">
        <v>1023</v>
      </c>
    </row>
    <row r="73" spans="1:17" x14ac:dyDescent="0.25">
      <c r="A73" t="s">
        <v>42</v>
      </c>
      <c r="B73" t="s">
        <v>1143</v>
      </c>
      <c r="C73" t="s">
        <v>330</v>
      </c>
      <c r="D73" t="s">
        <v>1004</v>
      </c>
      <c r="E73">
        <v>921</v>
      </c>
      <c r="F73" t="s">
        <v>1018</v>
      </c>
      <c r="G73" t="s">
        <v>1136</v>
      </c>
      <c r="H73" t="s">
        <v>1137</v>
      </c>
      <c r="I73" t="s">
        <v>987</v>
      </c>
      <c r="J73" t="s">
        <v>987</v>
      </c>
      <c r="K73" t="b">
        <v>0</v>
      </c>
      <c r="L73" t="b">
        <v>1</v>
      </c>
      <c r="M73" t="s">
        <v>1020</v>
      </c>
      <c r="N73" t="s">
        <v>989</v>
      </c>
      <c r="O73" t="s">
        <v>1021</v>
      </c>
      <c r="P73" t="s">
        <v>1022</v>
      </c>
      <c r="Q73" t="s">
        <v>1023</v>
      </c>
    </row>
    <row r="74" spans="1:17" x14ac:dyDescent="0.25">
      <c r="A74" t="s">
        <v>42</v>
      </c>
      <c r="B74" t="s">
        <v>1144</v>
      </c>
      <c r="C74" t="s">
        <v>330</v>
      </c>
      <c r="D74" t="s">
        <v>1006</v>
      </c>
      <c r="E74">
        <v>876</v>
      </c>
      <c r="F74" t="s">
        <v>1018</v>
      </c>
      <c r="G74" t="s">
        <v>1136</v>
      </c>
      <c r="H74" t="s">
        <v>1137</v>
      </c>
      <c r="I74" t="s">
        <v>987</v>
      </c>
      <c r="J74" t="s">
        <v>987</v>
      </c>
      <c r="K74" t="b">
        <v>0</v>
      </c>
      <c r="L74" t="b">
        <v>1</v>
      </c>
      <c r="M74" t="s">
        <v>1020</v>
      </c>
      <c r="N74" t="s">
        <v>989</v>
      </c>
      <c r="O74" t="s">
        <v>1021</v>
      </c>
      <c r="P74" t="s">
        <v>1022</v>
      </c>
      <c r="Q74" t="s">
        <v>1023</v>
      </c>
    </row>
    <row r="75" spans="1:17" x14ac:dyDescent="0.25">
      <c r="A75" t="s">
        <v>42</v>
      </c>
      <c r="B75" t="s">
        <v>1145</v>
      </c>
      <c r="C75" t="s">
        <v>330</v>
      </c>
      <c r="D75" t="s">
        <v>1008</v>
      </c>
      <c r="E75">
        <v>2999</v>
      </c>
      <c r="F75" t="s">
        <v>1026</v>
      </c>
      <c r="G75" t="s">
        <v>1146</v>
      </c>
      <c r="H75" t="s">
        <v>1137</v>
      </c>
      <c r="I75" t="s">
        <v>1054</v>
      </c>
      <c r="J75" t="s">
        <v>987</v>
      </c>
      <c r="K75" t="b">
        <v>1</v>
      </c>
      <c r="L75" t="b">
        <v>0</v>
      </c>
      <c r="M75" t="s">
        <v>987</v>
      </c>
      <c r="N75" t="s">
        <v>1029</v>
      </c>
      <c r="O75" t="s">
        <v>990</v>
      </c>
      <c r="P75" t="s">
        <v>1030</v>
      </c>
      <c r="Q75" t="s">
        <v>1147</v>
      </c>
    </row>
    <row r="76" spans="1:17" x14ac:dyDescent="0.25">
      <c r="A76" t="s">
        <v>42</v>
      </c>
      <c r="B76" t="s">
        <v>1148</v>
      </c>
      <c r="C76" t="s">
        <v>330</v>
      </c>
      <c r="D76" t="s">
        <v>1010</v>
      </c>
      <c r="E76">
        <v>2625</v>
      </c>
      <c r="F76" t="s">
        <v>1026</v>
      </c>
      <c r="G76" t="s">
        <v>1149</v>
      </c>
      <c r="H76" t="s">
        <v>1137</v>
      </c>
      <c r="I76" t="s">
        <v>1057</v>
      </c>
      <c r="J76" t="s">
        <v>987</v>
      </c>
      <c r="K76" t="b">
        <v>1</v>
      </c>
      <c r="L76" t="b">
        <v>0</v>
      </c>
      <c r="M76" t="s">
        <v>987</v>
      </c>
      <c r="N76" t="s">
        <v>1029</v>
      </c>
      <c r="O76" t="s">
        <v>990</v>
      </c>
      <c r="P76" t="s">
        <v>1030</v>
      </c>
      <c r="Q76" t="s">
        <v>1147</v>
      </c>
    </row>
    <row r="77" spans="1:17" x14ac:dyDescent="0.25">
      <c r="A77" t="s">
        <v>42</v>
      </c>
      <c r="B77" t="s">
        <v>1150</v>
      </c>
      <c r="C77" t="s">
        <v>330</v>
      </c>
      <c r="D77" t="s">
        <v>1012</v>
      </c>
      <c r="E77">
        <v>2975</v>
      </c>
      <c r="F77" t="s">
        <v>1026</v>
      </c>
      <c r="G77" t="s">
        <v>1151</v>
      </c>
      <c r="H77" t="s">
        <v>1137</v>
      </c>
      <c r="I77" t="s">
        <v>1060</v>
      </c>
      <c r="J77" t="s">
        <v>987</v>
      </c>
      <c r="K77" t="b">
        <v>1</v>
      </c>
      <c r="L77" t="b">
        <v>0</v>
      </c>
      <c r="M77" t="s">
        <v>987</v>
      </c>
      <c r="N77" t="s">
        <v>1029</v>
      </c>
      <c r="O77" t="s">
        <v>990</v>
      </c>
      <c r="P77" t="s">
        <v>1030</v>
      </c>
      <c r="Q77" t="s">
        <v>1147</v>
      </c>
    </row>
    <row r="78" spans="1:17" x14ac:dyDescent="0.25">
      <c r="A78" t="s">
        <v>42</v>
      </c>
      <c r="B78" t="s">
        <v>1152</v>
      </c>
      <c r="C78" t="s">
        <v>330</v>
      </c>
      <c r="D78" t="s">
        <v>1014</v>
      </c>
      <c r="E78">
        <v>2883</v>
      </c>
      <c r="F78" t="s">
        <v>1026</v>
      </c>
      <c r="G78" t="s">
        <v>1153</v>
      </c>
      <c r="H78" t="s">
        <v>1137</v>
      </c>
      <c r="I78" t="s">
        <v>1154</v>
      </c>
      <c r="J78" t="s">
        <v>987</v>
      </c>
      <c r="K78" t="b">
        <v>1</v>
      </c>
      <c r="L78" t="b">
        <v>0</v>
      </c>
      <c r="M78" t="s">
        <v>987</v>
      </c>
      <c r="N78" t="s">
        <v>1029</v>
      </c>
      <c r="O78" t="s">
        <v>990</v>
      </c>
      <c r="P78" t="s">
        <v>1030</v>
      </c>
      <c r="Q78" t="s">
        <v>1147</v>
      </c>
    </row>
    <row r="79" spans="1:17" x14ac:dyDescent="0.25">
      <c r="A79" t="s">
        <v>42</v>
      </c>
      <c r="B79" t="s">
        <v>1155</v>
      </c>
      <c r="C79" t="s">
        <v>330</v>
      </c>
      <c r="D79" t="s">
        <v>1016</v>
      </c>
      <c r="E79">
        <v>7146</v>
      </c>
      <c r="F79" t="s">
        <v>1018</v>
      </c>
      <c r="G79" t="s">
        <v>1136</v>
      </c>
      <c r="H79" t="s">
        <v>1137</v>
      </c>
      <c r="I79" t="s">
        <v>987</v>
      </c>
      <c r="J79" t="s">
        <v>987</v>
      </c>
      <c r="K79" t="b">
        <v>0</v>
      </c>
      <c r="L79" t="b">
        <v>1</v>
      </c>
      <c r="M79" t="s">
        <v>1020</v>
      </c>
      <c r="N79" t="s">
        <v>989</v>
      </c>
      <c r="O79" t="s">
        <v>1021</v>
      </c>
      <c r="P79" t="s">
        <v>1022</v>
      </c>
      <c r="Q79" t="s">
        <v>1023</v>
      </c>
    </row>
    <row r="80" spans="1:17" x14ac:dyDescent="0.25">
      <c r="A80" t="s">
        <v>42</v>
      </c>
      <c r="B80" t="s">
        <v>1156</v>
      </c>
      <c r="C80" t="s">
        <v>330</v>
      </c>
      <c r="D80" t="s">
        <v>1115</v>
      </c>
      <c r="E80">
        <v>6255</v>
      </c>
      <c r="F80" t="s">
        <v>1018</v>
      </c>
      <c r="G80" t="s">
        <v>1136</v>
      </c>
      <c r="H80" t="s">
        <v>1137</v>
      </c>
      <c r="I80" t="s">
        <v>987</v>
      </c>
      <c r="J80" t="s">
        <v>987</v>
      </c>
      <c r="K80" t="b">
        <v>0</v>
      </c>
      <c r="L80" t="b">
        <v>1</v>
      </c>
      <c r="M80" t="s">
        <v>1020</v>
      </c>
      <c r="N80" t="s">
        <v>989</v>
      </c>
      <c r="O80" t="s">
        <v>1021</v>
      </c>
      <c r="P80" t="s">
        <v>1022</v>
      </c>
      <c r="Q80" t="s">
        <v>1023</v>
      </c>
    </row>
    <row r="81" spans="1:17" x14ac:dyDescent="0.25">
      <c r="A81" t="s">
        <v>42</v>
      </c>
      <c r="B81" t="s">
        <v>1157</v>
      </c>
      <c r="C81" t="s">
        <v>331</v>
      </c>
      <c r="D81" t="s">
        <v>985</v>
      </c>
      <c r="E81">
        <v>2883</v>
      </c>
      <c r="F81" t="s">
        <v>1103</v>
      </c>
      <c r="G81" t="s">
        <v>1158</v>
      </c>
      <c r="H81" t="s">
        <v>1137</v>
      </c>
      <c r="I81" t="s">
        <v>1159</v>
      </c>
      <c r="J81" t="s">
        <v>987</v>
      </c>
      <c r="K81" t="b">
        <v>1</v>
      </c>
      <c r="L81" t="b">
        <v>0</v>
      </c>
      <c r="M81" t="s">
        <v>987</v>
      </c>
      <c r="N81" t="s">
        <v>1029</v>
      </c>
      <c r="O81" t="s">
        <v>990</v>
      </c>
      <c r="P81" t="s">
        <v>1030</v>
      </c>
      <c r="Q81" t="s">
        <v>1160</v>
      </c>
    </row>
    <row r="82" spans="1:17" x14ac:dyDescent="0.25">
      <c r="A82" t="s">
        <v>42</v>
      </c>
      <c r="B82" t="s">
        <v>1161</v>
      </c>
      <c r="C82" t="s">
        <v>331</v>
      </c>
      <c r="D82" t="s">
        <v>994</v>
      </c>
      <c r="E82">
        <v>2914</v>
      </c>
      <c r="F82" t="s">
        <v>1103</v>
      </c>
      <c r="G82" t="s">
        <v>1162</v>
      </c>
      <c r="H82" t="s">
        <v>1137</v>
      </c>
      <c r="I82" t="s">
        <v>1034</v>
      </c>
      <c r="J82" t="s">
        <v>987</v>
      </c>
      <c r="K82" t="b">
        <v>1</v>
      </c>
      <c r="L82" t="b">
        <v>0</v>
      </c>
      <c r="M82" t="s">
        <v>987</v>
      </c>
      <c r="N82" t="s">
        <v>1029</v>
      </c>
      <c r="O82" t="s">
        <v>990</v>
      </c>
      <c r="P82" t="s">
        <v>1030</v>
      </c>
      <c r="Q82" t="s">
        <v>1160</v>
      </c>
    </row>
    <row r="83" spans="1:17" x14ac:dyDescent="0.25">
      <c r="A83" t="s">
        <v>42</v>
      </c>
      <c r="B83" t="s">
        <v>1163</v>
      </c>
      <c r="C83" t="s">
        <v>331</v>
      </c>
      <c r="D83" t="s">
        <v>996</v>
      </c>
      <c r="E83">
        <v>2897</v>
      </c>
      <c r="F83" t="s">
        <v>1103</v>
      </c>
      <c r="G83" t="s">
        <v>1164</v>
      </c>
      <c r="H83" t="s">
        <v>1137</v>
      </c>
      <c r="I83" t="s">
        <v>1037</v>
      </c>
      <c r="J83" t="s">
        <v>987</v>
      </c>
      <c r="K83" t="b">
        <v>1</v>
      </c>
      <c r="L83" t="b">
        <v>0</v>
      </c>
      <c r="M83" t="s">
        <v>987</v>
      </c>
      <c r="N83" t="s">
        <v>1029</v>
      </c>
      <c r="O83" t="s">
        <v>990</v>
      </c>
      <c r="P83" t="s">
        <v>1030</v>
      </c>
      <c r="Q83" t="s">
        <v>1160</v>
      </c>
    </row>
    <row r="84" spans="1:17" x14ac:dyDescent="0.25">
      <c r="A84" t="s">
        <v>42</v>
      </c>
      <c r="B84" t="s">
        <v>1165</v>
      </c>
      <c r="C84" t="s">
        <v>331</v>
      </c>
      <c r="D84" t="s">
        <v>998</v>
      </c>
      <c r="E84">
        <v>2914</v>
      </c>
      <c r="F84" t="s">
        <v>1103</v>
      </c>
      <c r="G84" t="s">
        <v>1162</v>
      </c>
      <c r="H84" t="s">
        <v>1137</v>
      </c>
      <c r="I84" t="s">
        <v>1166</v>
      </c>
      <c r="J84" t="s">
        <v>987</v>
      </c>
      <c r="K84" t="b">
        <v>1</v>
      </c>
      <c r="L84" t="b">
        <v>0</v>
      </c>
      <c r="M84" t="s">
        <v>987</v>
      </c>
      <c r="N84" t="s">
        <v>1029</v>
      </c>
      <c r="O84" t="s">
        <v>990</v>
      </c>
      <c r="P84" t="s">
        <v>1030</v>
      </c>
      <c r="Q84" t="s">
        <v>1160</v>
      </c>
    </row>
    <row r="85" spans="1:17" x14ac:dyDescent="0.25">
      <c r="A85" t="s">
        <v>42</v>
      </c>
      <c r="B85" t="s">
        <v>1167</v>
      </c>
      <c r="C85" t="s">
        <v>331</v>
      </c>
      <c r="D85" t="s">
        <v>1000</v>
      </c>
      <c r="E85">
        <v>3148</v>
      </c>
      <c r="F85" t="s">
        <v>1103</v>
      </c>
      <c r="G85" t="s">
        <v>1168</v>
      </c>
      <c r="H85" t="s">
        <v>1137</v>
      </c>
      <c r="I85" t="s">
        <v>1028</v>
      </c>
      <c r="J85" t="s">
        <v>987</v>
      </c>
      <c r="K85" t="b">
        <v>1</v>
      </c>
      <c r="L85" t="b">
        <v>0</v>
      </c>
      <c r="M85" t="s">
        <v>987</v>
      </c>
      <c r="N85" t="s">
        <v>1029</v>
      </c>
      <c r="O85" t="s">
        <v>990</v>
      </c>
      <c r="P85" t="s">
        <v>1030</v>
      </c>
      <c r="Q85" t="s">
        <v>1160</v>
      </c>
    </row>
    <row r="86" spans="1:17" x14ac:dyDescent="0.25">
      <c r="A86" t="s">
        <v>42</v>
      </c>
      <c r="B86" t="s">
        <v>1169</v>
      </c>
      <c r="C86" t="s">
        <v>331</v>
      </c>
      <c r="D86" t="s">
        <v>1002</v>
      </c>
      <c r="E86">
        <v>2817</v>
      </c>
      <c r="F86" t="s">
        <v>1103</v>
      </c>
      <c r="G86" t="s">
        <v>1170</v>
      </c>
      <c r="H86" t="s">
        <v>1137</v>
      </c>
      <c r="I86" t="s">
        <v>1045</v>
      </c>
      <c r="J86" t="s">
        <v>987</v>
      </c>
      <c r="K86" t="b">
        <v>1</v>
      </c>
      <c r="L86" t="b">
        <v>0</v>
      </c>
      <c r="M86" t="s">
        <v>987</v>
      </c>
      <c r="N86" t="s">
        <v>1029</v>
      </c>
      <c r="O86" t="s">
        <v>990</v>
      </c>
      <c r="P86" t="s">
        <v>1030</v>
      </c>
      <c r="Q86" t="s">
        <v>1160</v>
      </c>
    </row>
    <row r="87" spans="1:17" x14ac:dyDescent="0.25">
      <c r="A87" t="s">
        <v>42</v>
      </c>
      <c r="B87" t="s">
        <v>1171</v>
      </c>
      <c r="C87" t="s">
        <v>331</v>
      </c>
      <c r="D87" t="s">
        <v>1004</v>
      </c>
      <c r="E87">
        <v>2598</v>
      </c>
      <c r="F87" t="s">
        <v>1103</v>
      </c>
      <c r="G87" t="s">
        <v>1172</v>
      </c>
      <c r="H87" t="s">
        <v>1137</v>
      </c>
      <c r="I87" t="s">
        <v>1048</v>
      </c>
      <c r="J87" t="s">
        <v>987</v>
      </c>
      <c r="K87" t="b">
        <v>1</v>
      </c>
      <c r="L87" t="b">
        <v>0</v>
      </c>
      <c r="M87" t="s">
        <v>987</v>
      </c>
      <c r="N87" t="s">
        <v>1029</v>
      </c>
      <c r="O87" t="s">
        <v>990</v>
      </c>
      <c r="P87" t="s">
        <v>1030</v>
      </c>
      <c r="Q87" t="s">
        <v>1160</v>
      </c>
    </row>
    <row r="88" spans="1:17" x14ac:dyDescent="0.25">
      <c r="A88" t="s">
        <v>42</v>
      </c>
      <c r="B88" t="s">
        <v>1173</v>
      </c>
      <c r="C88" t="s">
        <v>331</v>
      </c>
      <c r="D88" t="s">
        <v>1006</v>
      </c>
      <c r="E88">
        <v>2536</v>
      </c>
      <c r="F88" t="s">
        <v>1103</v>
      </c>
      <c r="G88" t="s">
        <v>1174</v>
      </c>
      <c r="H88" t="s">
        <v>1137</v>
      </c>
      <c r="I88" t="s">
        <v>1154</v>
      </c>
      <c r="J88" t="s">
        <v>987</v>
      </c>
      <c r="K88" t="b">
        <v>1</v>
      </c>
      <c r="L88" t="b">
        <v>0</v>
      </c>
      <c r="M88" t="s">
        <v>987</v>
      </c>
      <c r="N88" t="s">
        <v>1029</v>
      </c>
      <c r="O88" t="s">
        <v>990</v>
      </c>
      <c r="P88" t="s">
        <v>1030</v>
      </c>
      <c r="Q88" t="s">
        <v>1160</v>
      </c>
    </row>
    <row r="89" spans="1:17" x14ac:dyDescent="0.25">
      <c r="A89" t="s">
        <v>42</v>
      </c>
      <c r="B89" t="s">
        <v>1175</v>
      </c>
      <c r="C89" t="s">
        <v>331</v>
      </c>
      <c r="D89" t="s">
        <v>1008</v>
      </c>
      <c r="E89">
        <v>2619</v>
      </c>
      <c r="F89" t="s">
        <v>1103</v>
      </c>
      <c r="G89" t="s">
        <v>1176</v>
      </c>
      <c r="H89" t="s">
        <v>1137</v>
      </c>
      <c r="I89" t="s">
        <v>1054</v>
      </c>
      <c r="J89" t="s">
        <v>987</v>
      </c>
      <c r="K89" t="b">
        <v>1</v>
      </c>
      <c r="L89" t="b">
        <v>0</v>
      </c>
      <c r="M89" t="s">
        <v>987</v>
      </c>
      <c r="N89" t="s">
        <v>1029</v>
      </c>
      <c r="O89" t="s">
        <v>990</v>
      </c>
      <c r="P89" t="s">
        <v>1030</v>
      </c>
      <c r="Q89" t="s">
        <v>1160</v>
      </c>
    </row>
    <row r="90" spans="1:17" x14ac:dyDescent="0.25">
      <c r="A90" t="s">
        <v>42</v>
      </c>
      <c r="B90" t="s">
        <v>1177</v>
      </c>
      <c r="C90" t="s">
        <v>331</v>
      </c>
      <c r="D90" t="s">
        <v>1010</v>
      </c>
      <c r="E90">
        <v>2533</v>
      </c>
      <c r="F90" t="s">
        <v>1103</v>
      </c>
      <c r="G90" t="s">
        <v>1178</v>
      </c>
      <c r="H90" t="s">
        <v>1137</v>
      </c>
      <c r="I90" t="s">
        <v>1057</v>
      </c>
      <c r="J90" t="s">
        <v>987</v>
      </c>
      <c r="K90" t="b">
        <v>1</v>
      </c>
      <c r="L90" t="b">
        <v>0</v>
      </c>
      <c r="M90" t="s">
        <v>987</v>
      </c>
      <c r="N90" t="s">
        <v>1029</v>
      </c>
      <c r="O90" t="s">
        <v>990</v>
      </c>
      <c r="P90" t="s">
        <v>1030</v>
      </c>
      <c r="Q90" t="s">
        <v>1160</v>
      </c>
    </row>
    <row r="91" spans="1:17" x14ac:dyDescent="0.25">
      <c r="A91" t="s">
        <v>42</v>
      </c>
      <c r="B91" t="s">
        <v>1179</v>
      </c>
      <c r="C91" t="s">
        <v>331</v>
      </c>
      <c r="D91" t="s">
        <v>1012</v>
      </c>
      <c r="E91">
        <v>2518</v>
      </c>
      <c r="F91" t="s">
        <v>1103</v>
      </c>
      <c r="G91" t="s">
        <v>1180</v>
      </c>
      <c r="H91" t="s">
        <v>1137</v>
      </c>
      <c r="I91" t="s">
        <v>1060</v>
      </c>
      <c r="J91" t="s">
        <v>987</v>
      </c>
      <c r="K91" t="b">
        <v>1</v>
      </c>
      <c r="L91" t="b">
        <v>0</v>
      </c>
      <c r="M91" t="s">
        <v>987</v>
      </c>
      <c r="N91" t="s">
        <v>1029</v>
      </c>
      <c r="O91" t="s">
        <v>990</v>
      </c>
      <c r="P91" t="s">
        <v>1030</v>
      </c>
      <c r="Q91" t="s">
        <v>1160</v>
      </c>
    </row>
    <row r="92" spans="1:17" x14ac:dyDescent="0.25">
      <c r="A92" t="s">
        <v>42</v>
      </c>
      <c r="B92" t="s">
        <v>1181</v>
      </c>
      <c r="C92" t="s">
        <v>331</v>
      </c>
      <c r="D92" t="s">
        <v>1014</v>
      </c>
      <c r="E92">
        <v>2565</v>
      </c>
      <c r="F92" t="s">
        <v>1103</v>
      </c>
      <c r="G92" t="s">
        <v>1182</v>
      </c>
      <c r="H92" t="s">
        <v>1137</v>
      </c>
      <c r="I92" t="s">
        <v>1154</v>
      </c>
      <c r="J92" t="s">
        <v>987</v>
      </c>
      <c r="K92" t="b">
        <v>1</v>
      </c>
      <c r="L92" t="b">
        <v>0</v>
      </c>
      <c r="M92" t="s">
        <v>987</v>
      </c>
      <c r="N92" t="s">
        <v>1029</v>
      </c>
      <c r="O92" t="s">
        <v>990</v>
      </c>
      <c r="P92" t="s">
        <v>1030</v>
      </c>
      <c r="Q92" t="s">
        <v>1183</v>
      </c>
    </row>
    <row r="93" spans="1:17" x14ac:dyDescent="0.25">
      <c r="A93" t="s">
        <v>42</v>
      </c>
      <c r="B93" t="s">
        <v>1184</v>
      </c>
      <c r="C93" t="s">
        <v>331</v>
      </c>
      <c r="D93" t="s">
        <v>1016</v>
      </c>
      <c r="E93">
        <v>2605</v>
      </c>
      <c r="F93" t="s">
        <v>1103</v>
      </c>
      <c r="G93" t="s">
        <v>1185</v>
      </c>
      <c r="H93" t="s">
        <v>1137</v>
      </c>
      <c r="I93" t="s">
        <v>1066</v>
      </c>
      <c r="J93" t="s">
        <v>987</v>
      </c>
      <c r="K93" t="b">
        <v>1</v>
      </c>
      <c r="L93" t="b">
        <v>0</v>
      </c>
      <c r="M93" t="s">
        <v>987</v>
      </c>
      <c r="N93" t="s">
        <v>1029</v>
      </c>
      <c r="O93" t="s">
        <v>990</v>
      </c>
      <c r="P93" t="s">
        <v>1030</v>
      </c>
      <c r="Q93" t="s">
        <v>1160</v>
      </c>
    </row>
    <row r="94" spans="1:17" x14ac:dyDescent="0.25">
      <c r="A94" t="s">
        <v>42</v>
      </c>
      <c r="B94" t="s">
        <v>1186</v>
      </c>
      <c r="C94" t="s">
        <v>332</v>
      </c>
      <c r="D94" t="s">
        <v>985</v>
      </c>
      <c r="E94">
        <v>407</v>
      </c>
      <c r="F94" t="s">
        <v>1026</v>
      </c>
      <c r="G94" t="s">
        <v>1187</v>
      </c>
      <c r="H94" t="s">
        <v>1137</v>
      </c>
      <c r="I94" t="s">
        <v>1159</v>
      </c>
      <c r="J94" t="s">
        <v>987</v>
      </c>
      <c r="K94" t="b">
        <v>1</v>
      </c>
      <c r="L94" t="b">
        <v>0</v>
      </c>
      <c r="M94" t="s">
        <v>987</v>
      </c>
      <c r="N94" t="s">
        <v>1029</v>
      </c>
      <c r="O94" t="s">
        <v>990</v>
      </c>
      <c r="P94" t="s">
        <v>1030</v>
      </c>
      <c r="Q94" t="s">
        <v>987</v>
      </c>
    </row>
    <row r="95" spans="1:17" x14ac:dyDescent="0.25">
      <c r="A95" t="s">
        <v>42</v>
      </c>
      <c r="B95" t="s">
        <v>1188</v>
      </c>
      <c r="C95" t="s">
        <v>332</v>
      </c>
      <c r="D95" t="s">
        <v>994</v>
      </c>
      <c r="E95">
        <v>404</v>
      </c>
      <c r="F95" t="s">
        <v>1026</v>
      </c>
      <c r="G95" t="s">
        <v>1189</v>
      </c>
      <c r="H95" t="s">
        <v>1137</v>
      </c>
      <c r="I95" t="s">
        <v>1034</v>
      </c>
      <c r="J95" t="s">
        <v>987</v>
      </c>
      <c r="K95" t="b">
        <v>1</v>
      </c>
      <c r="L95" t="b">
        <v>0</v>
      </c>
      <c r="M95" t="s">
        <v>987</v>
      </c>
      <c r="N95" t="s">
        <v>1029</v>
      </c>
      <c r="O95" t="s">
        <v>990</v>
      </c>
      <c r="P95" t="s">
        <v>1030</v>
      </c>
      <c r="Q95" t="s">
        <v>987</v>
      </c>
    </row>
    <row r="96" spans="1:17" x14ac:dyDescent="0.25">
      <c r="A96" t="s">
        <v>42</v>
      </c>
      <c r="B96" t="s">
        <v>1190</v>
      </c>
      <c r="C96" t="s">
        <v>332</v>
      </c>
      <c r="D96" t="s">
        <v>996</v>
      </c>
      <c r="E96">
        <v>413</v>
      </c>
      <c r="F96" t="s">
        <v>1026</v>
      </c>
      <c r="G96" t="s">
        <v>1191</v>
      </c>
      <c r="H96" t="s">
        <v>1137</v>
      </c>
      <c r="I96" t="s">
        <v>1037</v>
      </c>
      <c r="J96" t="s">
        <v>987</v>
      </c>
      <c r="K96" t="b">
        <v>1</v>
      </c>
      <c r="L96" t="b">
        <v>0</v>
      </c>
      <c r="M96" t="s">
        <v>987</v>
      </c>
      <c r="N96" t="s">
        <v>1029</v>
      </c>
      <c r="O96" t="s">
        <v>990</v>
      </c>
      <c r="P96" t="s">
        <v>1030</v>
      </c>
      <c r="Q96" t="s">
        <v>987</v>
      </c>
    </row>
    <row r="97" spans="1:17" x14ac:dyDescent="0.25">
      <c r="A97" t="s">
        <v>42</v>
      </c>
      <c r="B97" t="s">
        <v>1192</v>
      </c>
      <c r="C97" t="s">
        <v>332</v>
      </c>
      <c r="D97" t="s">
        <v>998</v>
      </c>
      <c r="E97">
        <v>411</v>
      </c>
      <c r="F97" t="s">
        <v>1026</v>
      </c>
      <c r="G97" t="s">
        <v>1193</v>
      </c>
      <c r="H97" t="s">
        <v>1137</v>
      </c>
      <c r="I97" t="s">
        <v>1166</v>
      </c>
      <c r="J97" t="s">
        <v>987</v>
      </c>
      <c r="K97" t="b">
        <v>1</v>
      </c>
      <c r="L97" t="b">
        <v>0</v>
      </c>
      <c r="M97" t="s">
        <v>987</v>
      </c>
      <c r="N97" t="s">
        <v>1029</v>
      </c>
      <c r="O97" t="s">
        <v>990</v>
      </c>
      <c r="P97" t="s">
        <v>1030</v>
      </c>
      <c r="Q97" t="s">
        <v>987</v>
      </c>
    </row>
    <row r="98" spans="1:17" x14ac:dyDescent="0.25">
      <c r="A98" t="s">
        <v>42</v>
      </c>
      <c r="B98" t="s">
        <v>1194</v>
      </c>
      <c r="C98" t="s">
        <v>332</v>
      </c>
      <c r="D98" t="s">
        <v>1000</v>
      </c>
      <c r="E98">
        <v>395</v>
      </c>
      <c r="F98" t="s">
        <v>1026</v>
      </c>
      <c r="G98" t="s">
        <v>1195</v>
      </c>
      <c r="H98" t="s">
        <v>1137</v>
      </c>
      <c r="I98" t="s">
        <v>1028</v>
      </c>
      <c r="J98" t="s">
        <v>987</v>
      </c>
      <c r="K98" t="b">
        <v>1</v>
      </c>
      <c r="L98" t="b">
        <v>0</v>
      </c>
      <c r="M98" t="s">
        <v>987</v>
      </c>
      <c r="N98" t="s">
        <v>1029</v>
      </c>
      <c r="O98" t="s">
        <v>990</v>
      </c>
      <c r="P98" t="s">
        <v>1030</v>
      </c>
      <c r="Q98" t="s">
        <v>987</v>
      </c>
    </row>
    <row r="99" spans="1:17" x14ac:dyDescent="0.25">
      <c r="A99" t="s">
        <v>42</v>
      </c>
      <c r="B99" t="s">
        <v>1196</v>
      </c>
      <c r="C99" t="s">
        <v>332</v>
      </c>
      <c r="D99" t="s">
        <v>1002</v>
      </c>
      <c r="E99">
        <v>382</v>
      </c>
      <c r="F99" t="s">
        <v>1026</v>
      </c>
      <c r="G99" t="s">
        <v>1197</v>
      </c>
      <c r="H99" t="s">
        <v>1137</v>
      </c>
      <c r="I99" t="s">
        <v>1045</v>
      </c>
      <c r="J99" t="s">
        <v>987</v>
      </c>
      <c r="K99" t="b">
        <v>1</v>
      </c>
      <c r="L99" t="b">
        <v>0</v>
      </c>
      <c r="M99" t="s">
        <v>987</v>
      </c>
      <c r="N99" t="s">
        <v>1029</v>
      </c>
      <c r="O99" t="s">
        <v>990</v>
      </c>
      <c r="P99" t="s">
        <v>1030</v>
      </c>
      <c r="Q99" t="s">
        <v>987</v>
      </c>
    </row>
    <row r="100" spans="1:17" x14ac:dyDescent="0.25">
      <c r="A100" t="s">
        <v>42</v>
      </c>
      <c r="B100" t="s">
        <v>1198</v>
      </c>
      <c r="C100" t="s">
        <v>332</v>
      </c>
      <c r="D100" t="s">
        <v>1004</v>
      </c>
      <c r="E100">
        <v>356</v>
      </c>
      <c r="F100" t="s">
        <v>1026</v>
      </c>
      <c r="G100" t="s">
        <v>1199</v>
      </c>
      <c r="H100" t="s">
        <v>1137</v>
      </c>
      <c r="I100" t="s">
        <v>1048</v>
      </c>
      <c r="J100" t="s">
        <v>987</v>
      </c>
      <c r="K100" t="b">
        <v>1</v>
      </c>
      <c r="L100" t="b">
        <v>0</v>
      </c>
      <c r="M100" t="s">
        <v>987</v>
      </c>
      <c r="N100" t="s">
        <v>1029</v>
      </c>
      <c r="O100" t="s">
        <v>990</v>
      </c>
      <c r="P100" t="s">
        <v>1030</v>
      </c>
      <c r="Q100" t="s">
        <v>987</v>
      </c>
    </row>
    <row r="101" spans="1:17" x14ac:dyDescent="0.25">
      <c r="A101" t="s">
        <v>42</v>
      </c>
      <c r="B101" t="s">
        <v>1200</v>
      </c>
      <c r="C101" t="s">
        <v>332</v>
      </c>
      <c r="D101" t="s">
        <v>1006</v>
      </c>
      <c r="E101">
        <v>346</v>
      </c>
      <c r="F101" t="s">
        <v>1026</v>
      </c>
      <c r="G101" t="s">
        <v>1201</v>
      </c>
      <c r="H101" t="s">
        <v>1137</v>
      </c>
      <c r="I101" t="s">
        <v>1154</v>
      </c>
      <c r="J101" t="s">
        <v>987</v>
      </c>
      <c r="K101" t="b">
        <v>1</v>
      </c>
      <c r="L101" t="b">
        <v>0</v>
      </c>
      <c r="M101" t="s">
        <v>987</v>
      </c>
      <c r="N101" t="s">
        <v>1029</v>
      </c>
      <c r="O101" t="s">
        <v>990</v>
      </c>
      <c r="P101" t="s">
        <v>1030</v>
      </c>
      <c r="Q101" t="s">
        <v>987</v>
      </c>
    </row>
    <row r="102" spans="1:17" x14ac:dyDescent="0.25">
      <c r="A102" t="s">
        <v>42</v>
      </c>
      <c r="B102" t="s">
        <v>1202</v>
      </c>
      <c r="C102" t="s">
        <v>332</v>
      </c>
      <c r="D102" t="s">
        <v>1008</v>
      </c>
      <c r="E102">
        <v>344</v>
      </c>
      <c r="F102" t="s">
        <v>1026</v>
      </c>
      <c r="G102" t="s">
        <v>1203</v>
      </c>
      <c r="H102" t="s">
        <v>1137</v>
      </c>
      <c r="I102" t="s">
        <v>1054</v>
      </c>
      <c r="J102" t="s">
        <v>987</v>
      </c>
      <c r="K102" t="b">
        <v>1</v>
      </c>
      <c r="L102" t="b">
        <v>0</v>
      </c>
      <c r="M102" t="s">
        <v>987</v>
      </c>
      <c r="N102" t="s">
        <v>1029</v>
      </c>
      <c r="O102" t="s">
        <v>990</v>
      </c>
      <c r="P102" t="s">
        <v>1030</v>
      </c>
      <c r="Q102" t="s">
        <v>987</v>
      </c>
    </row>
    <row r="103" spans="1:17" x14ac:dyDescent="0.25">
      <c r="A103" t="s">
        <v>42</v>
      </c>
      <c r="B103" t="s">
        <v>1204</v>
      </c>
      <c r="C103" t="s">
        <v>332</v>
      </c>
      <c r="D103" t="s">
        <v>1010</v>
      </c>
      <c r="E103">
        <v>338</v>
      </c>
      <c r="F103" t="s">
        <v>1026</v>
      </c>
      <c r="G103" t="s">
        <v>1205</v>
      </c>
      <c r="H103" t="s">
        <v>1137</v>
      </c>
      <c r="I103" t="s">
        <v>1057</v>
      </c>
      <c r="J103" t="s">
        <v>987</v>
      </c>
      <c r="K103" t="b">
        <v>1</v>
      </c>
      <c r="L103" t="b">
        <v>0</v>
      </c>
      <c r="M103" t="s">
        <v>987</v>
      </c>
      <c r="N103" t="s">
        <v>1029</v>
      </c>
      <c r="O103" t="s">
        <v>990</v>
      </c>
      <c r="P103" t="s">
        <v>1030</v>
      </c>
      <c r="Q103" t="s">
        <v>987</v>
      </c>
    </row>
    <row r="104" spans="1:17" x14ac:dyDescent="0.25">
      <c r="A104" t="s">
        <v>42</v>
      </c>
      <c r="B104" t="s">
        <v>1206</v>
      </c>
      <c r="C104" t="s">
        <v>332</v>
      </c>
      <c r="D104" t="s">
        <v>1012</v>
      </c>
      <c r="E104">
        <v>346</v>
      </c>
      <c r="F104" t="s">
        <v>1026</v>
      </c>
      <c r="G104" t="s">
        <v>1201</v>
      </c>
      <c r="H104" t="s">
        <v>1137</v>
      </c>
      <c r="I104" t="s">
        <v>1060</v>
      </c>
      <c r="J104" t="s">
        <v>987</v>
      </c>
      <c r="K104" t="b">
        <v>1</v>
      </c>
      <c r="L104" t="b">
        <v>0</v>
      </c>
      <c r="M104" t="s">
        <v>987</v>
      </c>
      <c r="N104" t="s">
        <v>1029</v>
      </c>
      <c r="O104" t="s">
        <v>990</v>
      </c>
      <c r="P104" t="s">
        <v>1030</v>
      </c>
      <c r="Q104" t="s">
        <v>987</v>
      </c>
    </row>
    <row r="105" spans="1:17" x14ac:dyDescent="0.25">
      <c r="A105" t="s">
        <v>42</v>
      </c>
      <c r="B105" t="s">
        <v>1207</v>
      </c>
      <c r="C105" t="s">
        <v>332</v>
      </c>
      <c r="D105" t="s">
        <v>1014</v>
      </c>
      <c r="E105">
        <v>348</v>
      </c>
      <c r="F105" t="s">
        <v>1026</v>
      </c>
      <c r="G105" t="s">
        <v>1208</v>
      </c>
      <c r="H105" t="s">
        <v>1137</v>
      </c>
      <c r="I105" t="s">
        <v>1154</v>
      </c>
      <c r="J105" t="s">
        <v>987</v>
      </c>
      <c r="K105" t="b">
        <v>1</v>
      </c>
      <c r="L105" t="b">
        <v>0</v>
      </c>
      <c r="M105" t="s">
        <v>987</v>
      </c>
      <c r="N105" t="s">
        <v>1029</v>
      </c>
      <c r="O105" t="s">
        <v>990</v>
      </c>
      <c r="P105" t="s">
        <v>1030</v>
      </c>
      <c r="Q105" t="s">
        <v>987</v>
      </c>
    </row>
    <row r="106" spans="1:17" x14ac:dyDescent="0.25">
      <c r="A106" t="s">
        <v>42</v>
      </c>
      <c r="B106" t="s">
        <v>1209</v>
      </c>
      <c r="C106" t="s">
        <v>332</v>
      </c>
      <c r="D106" t="s">
        <v>1016</v>
      </c>
      <c r="E106">
        <v>343</v>
      </c>
      <c r="F106" t="s">
        <v>1026</v>
      </c>
      <c r="G106" t="s">
        <v>1210</v>
      </c>
      <c r="H106" t="s">
        <v>1137</v>
      </c>
      <c r="I106" t="s">
        <v>1066</v>
      </c>
      <c r="J106" t="s">
        <v>987</v>
      </c>
      <c r="K106" t="b">
        <v>1</v>
      </c>
      <c r="L106" t="b">
        <v>0</v>
      </c>
      <c r="M106" t="s">
        <v>987</v>
      </c>
      <c r="N106" t="s">
        <v>1029</v>
      </c>
      <c r="O106" t="s">
        <v>990</v>
      </c>
      <c r="P106" t="s">
        <v>1030</v>
      </c>
      <c r="Q106" t="s">
        <v>987</v>
      </c>
    </row>
    <row r="107" spans="1:17" x14ac:dyDescent="0.25">
      <c r="A107" t="s">
        <v>42</v>
      </c>
      <c r="B107" t="s">
        <v>1211</v>
      </c>
      <c r="C107" t="s">
        <v>333</v>
      </c>
      <c r="D107" t="s">
        <v>985</v>
      </c>
      <c r="E107">
        <v>1813</v>
      </c>
      <c r="F107" t="s">
        <v>1103</v>
      </c>
      <c r="G107" t="s">
        <v>1212</v>
      </c>
      <c r="H107" t="s">
        <v>1137</v>
      </c>
      <c r="I107" t="s">
        <v>1159</v>
      </c>
      <c r="J107" t="s">
        <v>987</v>
      </c>
      <c r="K107" t="b">
        <v>1</v>
      </c>
      <c r="L107" t="b">
        <v>0</v>
      </c>
      <c r="M107" t="s">
        <v>987</v>
      </c>
      <c r="N107" t="s">
        <v>1029</v>
      </c>
      <c r="O107" t="s">
        <v>990</v>
      </c>
      <c r="P107" t="s">
        <v>1030</v>
      </c>
      <c r="Q107" t="s">
        <v>1213</v>
      </c>
    </row>
    <row r="108" spans="1:17" x14ac:dyDescent="0.25">
      <c r="A108" t="s">
        <v>42</v>
      </c>
      <c r="B108" t="s">
        <v>1214</v>
      </c>
      <c r="C108" t="s">
        <v>333</v>
      </c>
      <c r="D108" t="s">
        <v>994</v>
      </c>
      <c r="E108">
        <v>1743</v>
      </c>
      <c r="F108" t="s">
        <v>1103</v>
      </c>
      <c r="G108" t="s">
        <v>1215</v>
      </c>
      <c r="H108" t="s">
        <v>1137</v>
      </c>
      <c r="I108" t="s">
        <v>1034</v>
      </c>
      <c r="J108" t="s">
        <v>987</v>
      </c>
      <c r="K108" t="b">
        <v>1</v>
      </c>
      <c r="L108" t="b">
        <v>0</v>
      </c>
      <c r="M108" t="s">
        <v>987</v>
      </c>
      <c r="N108" t="s">
        <v>1029</v>
      </c>
      <c r="O108" t="s">
        <v>990</v>
      </c>
      <c r="P108" t="s">
        <v>1030</v>
      </c>
      <c r="Q108" t="s">
        <v>1213</v>
      </c>
    </row>
    <row r="109" spans="1:17" x14ac:dyDescent="0.25">
      <c r="A109" t="s">
        <v>42</v>
      </c>
      <c r="B109" t="s">
        <v>1216</v>
      </c>
      <c r="C109" t="s">
        <v>333</v>
      </c>
      <c r="D109" t="s">
        <v>996</v>
      </c>
      <c r="E109">
        <v>1995</v>
      </c>
      <c r="F109" t="s">
        <v>1103</v>
      </c>
      <c r="G109" t="s">
        <v>1217</v>
      </c>
      <c r="H109" t="s">
        <v>1137</v>
      </c>
      <c r="I109" t="s">
        <v>1037</v>
      </c>
      <c r="J109" t="s">
        <v>987</v>
      </c>
      <c r="K109" t="b">
        <v>1</v>
      </c>
      <c r="L109" t="b">
        <v>0</v>
      </c>
      <c r="M109" t="s">
        <v>987</v>
      </c>
      <c r="N109" t="s">
        <v>1029</v>
      </c>
      <c r="O109" t="s">
        <v>990</v>
      </c>
      <c r="P109" t="s">
        <v>1030</v>
      </c>
      <c r="Q109" t="s">
        <v>1213</v>
      </c>
    </row>
    <row r="110" spans="1:17" x14ac:dyDescent="0.25">
      <c r="A110" t="s">
        <v>42</v>
      </c>
      <c r="B110" t="s">
        <v>1218</v>
      </c>
      <c r="C110" t="s">
        <v>333</v>
      </c>
      <c r="D110" t="s">
        <v>998</v>
      </c>
      <c r="E110">
        <v>2614</v>
      </c>
      <c r="F110" t="s">
        <v>1103</v>
      </c>
      <c r="G110" t="s">
        <v>1219</v>
      </c>
      <c r="H110" t="s">
        <v>1137</v>
      </c>
      <c r="I110" t="s">
        <v>1166</v>
      </c>
      <c r="J110" t="s">
        <v>987</v>
      </c>
      <c r="K110" t="b">
        <v>1</v>
      </c>
      <c r="L110" t="b">
        <v>0</v>
      </c>
      <c r="M110" t="s">
        <v>987</v>
      </c>
      <c r="N110" t="s">
        <v>1029</v>
      </c>
      <c r="O110" t="s">
        <v>990</v>
      </c>
      <c r="P110" t="s">
        <v>1030</v>
      </c>
      <c r="Q110" t="s">
        <v>1213</v>
      </c>
    </row>
    <row r="111" spans="1:17" x14ac:dyDescent="0.25">
      <c r="A111" t="s">
        <v>42</v>
      </c>
      <c r="B111" t="s">
        <v>1220</v>
      </c>
      <c r="C111" t="s">
        <v>333</v>
      </c>
      <c r="D111" t="s">
        <v>1000</v>
      </c>
      <c r="E111">
        <v>1797</v>
      </c>
      <c r="F111" t="s">
        <v>1103</v>
      </c>
      <c r="G111" t="s">
        <v>1221</v>
      </c>
      <c r="H111" t="s">
        <v>1137</v>
      </c>
      <c r="I111" t="s">
        <v>1028</v>
      </c>
      <c r="J111" t="s">
        <v>987</v>
      </c>
      <c r="K111" t="b">
        <v>1</v>
      </c>
      <c r="L111" t="b">
        <v>0</v>
      </c>
      <c r="M111" t="s">
        <v>987</v>
      </c>
      <c r="N111" t="s">
        <v>1029</v>
      </c>
      <c r="O111" t="s">
        <v>990</v>
      </c>
      <c r="P111" t="s">
        <v>1030</v>
      </c>
      <c r="Q111" t="s">
        <v>1213</v>
      </c>
    </row>
    <row r="112" spans="1:17" x14ac:dyDescent="0.25">
      <c r="A112" t="s">
        <v>42</v>
      </c>
      <c r="B112" t="s">
        <v>1222</v>
      </c>
      <c r="C112" t="s">
        <v>333</v>
      </c>
      <c r="D112" t="s">
        <v>1002</v>
      </c>
      <c r="E112">
        <v>1876</v>
      </c>
      <c r="F112" t="s">
        <v>1103</v>
      </c>
      <c r="G112" t="s">
        <v>1223</v>
      </c>
      <c r="H112" t="s">
        <v>1137</v>
      </c>
      <c r="I112" t="s">
        <v>1045</v>
      </c>
      <c r="J112" t="s">
        <v>987</v>
      </c>
      <c r="K112" t="b">
        <v>1</v>
      </c>
      <c r="L112" t="b">
        <v>0</v>
      </c>
      <c r="M112" t="s">
        <v>987</v>
      </c>
      <c r="N112" t="s">
        <v>1029</v>
      </c>
      <c r="O112" t="s">
        <v>990</v>
      </c>
      <c r="P112" t="s">
        <v>1030</v>
      </c>
      <c r="Q112" t="s">
        <v>1213</v>
      </c>
    </row>
    <row r="113" spans="1:17" x14ac:dyDescent="0.25">
      <c r="A113" t="s">
        <v>42</v>
      </c>
      <c r="B113" t="s">
        <v>1224</v>
      </c>
      <c r="C113" t="s">
        <v>333</v>
      </c>
      <c r="D113" t="s">
        <v>1004</v>
      </c>
      <c r="E113">
        <v>1711</v>
      </c>
      <c r="F113" t="s">
        <v>1103</v>
      </c>
      <c r="G113" t="s">
        <v>1225</v>
      </c>
      <c r="H113" t="s">
        <v>1137</v>
      </c>
      <c r="I113" t="s">
        <v>1048</v>
      </c>
      <c r="J113" t="s">
        <v>987</v>
      </c>
      <c r="K113" t="b">
        <v>1</v>
      </c>
      <c r="L113" t="b">
        <v>0</v>
      </c>
      <c r="M113" t="s">
        <v>987</v>
      </c>
      <c r="N113" t="s">
        <v>1029</v>
      </c>
      <c r="O113" t="s">
        <v>990</v>
      </c>
      <c r="P113" t="s">
        <v>1030</v>
      </c>
      <c r="Q113" t="s">
        <v>1213</v>
      </c>
    </row>
    <row r="114" spans="1:17" x14ac:dyDescent="0.25">
      <c r="A114" t="s">
        <v>42</v>
      </c>
      <c r="B114" t="s">
        <v>1226</v>
      </c>
      <c r="C114" t="s">
        <v>333</v>
      </c>
      <c r="D114" t="s">
        <v>1006</v>
      </c>
      <c r="E114">
        <v>1781</v>
      </c>
      <c r="F114" t="s">
        <v>1103</v>
      </c>
      <c r="G114" t="s">
        <v>1227</v>
      </c>
      <c r="H114" t="s">
        <v>1137</v>
      </c>
      <c r="I114" t="s">
        <v>1154</v>
      </c>
      <c r="J114" t="s">
        <v>987</v>
      </c>
      <c r="K114" t="b">
        <v>1</v>
      </c>
      <c r="L114" t="b">
        <v>0</v>
      </c>
      <c r="M114" t="s">
        <v>987</v>
      </c>
      <c r="N114" t="s">
        <v>1029</v>
      </c>
      <c r="O114" t="s">
        <v>990</v>
      </c>
      <c r="P114" t="s">
        <v>1030</v>
      </c>
      <c r="Q114" t="s">
        <v>1213</v>
      </c>
    </row>
    <row r="115" spans="1:17" x14ac:dyDescent="0.25">
      <c r="A115" t="s">
        <v>42</v>
      </c>
      <c r="B115" t="s">
        <v>1228</v>
      </c>
      <c r="C115" t="s">
        <v>333</v>
      </c>
      <c r="D115" t="s">
        <v>1008</v>
      </c>
      <c r="E115">
        <v>1951</v>
      </c>
      <c r="F115" t="s">
        <v>1103</v>
      </c>
      <c r="G115" t="s">
        <v>1229</v>
      </c>
      <c r="H115" t="s">
        <v>1137</v>
      </c>
      <c r="I115" t="s">
        <v>1054</v>
      </c>
      <c r="J115" t="s">
        <v>987</v>
      </c>
      <c r="K115" t="b">
        <v>1</v>
      </c>
      <c r="L115" t="b">
        <v>0</v>
      </c>
      <c r="M115" t="s">
        <v>987</v>
      </c>
      <c r="N115" t="s">
        <v>1029</v>
      </c>
      <c r="O115" t="s">
        <v>990</v>
      </c>
      <c r="P115" t="s">
        <v>1030</v>
      </c>
      <c r="Q115" t="s">
        <v>1213</v>
      </c>
    </row>
    <row r="116" spans="1:17" x14ac:dyDescent="0.25">
      <c r="A116" t="s">
        <v>42</v>
      </c>
      <c r="B116" t="s">
        <v>1230</v>
      </c>
      <c r="C116" t="s">
        <v>333</v>
      </c>
      <c r="D116" t="s">
        <v>1010</v>
      </c>
      <c r="E116">
        <v>1802</v>
      </c>
      <c r="F116" t="s">
        <v>1103</v>
      </c>
      <c r="G116" t="s">
        <v>1231</v>
      </c>
      <c r="H116" t="s">
        <v>1137</v>
      </c>
      <c r="I116" t="s">
        <v>1057</v>
      </c>
      <c r="J116" t="s">
        <v>987</v>
      </c>
      <c r="K116" t="b">
        <v>1</v>
      </c>
      <c r="L116" t="b">
        <v>0</v>
      </c>
      <c r="M116" t="s">
        <v>987</v>
      </c>
      <c r="N116" t="s">
        <v>1029</v>
      </c>
      <c r="O116" t="s">
        <v>990</v>
      </c>
      <c r="P116" t="s">
        <v>1030</v>
      </c>
      <c r="Q116" t="s">
        <v>1213</v>
      </c>
    </row>
    <row r="117" spans="1:17" x14ac:dyDescent="0.25">
      <c r="A117" t="s">
        <v>42</v>
      </c>
      <c r="B117" t="s">
        <v>1232</v>
      </c>
      <c r="C117" t="s">
        <v>333</v>
      </c>
      <c r="D117" t="s">
        <v>1012</v>
      </c>
      <c r="E117">
        <v>1971</v>
      </c>
      <c r="F117" t="s">
        <v>1103</v>
      </c>
      <c r="G117" t="s">
        <v>1233</v>
      </c>
      <c r="H117" t="s">
        <v>1137</v>
      </c>
      <c r="I117" t="s">
        <v>1060</v>
      </c>
      <c r="J117" t="s">
        <v>987</v>
      </c>
      <c r="K117" t="b">
        <v>1</v>
      </c>
      <c r="L117" t="b">
        <v>0</v>
      </c>
      <c r="M117" t="s">
        <v>987</v>
      </c>
      <c r="N117" t="s">
        <v>1029</v>
      </c>
      <c r="O117" t="s">
        <v>990</v>
      </c>
      <c r="P117" t="s">
        <v>1030</v>
      </c>
      <c r="Q117" t="s">
        <v>1213</v>
      </c>
    </row>
    <row r="118" spans="1:17" x14ac:dyDescent="0.25">
      <c r="A118" t="s">
        <v>42</v>
      </c>
      <c r="B118" t="s">
        <v>1234</v>
      </c>
      <c r="C118" t="s">
        <v>333</v>
      </c>
      <c r="D118" t="s">
        <v>1014</v>
      </c>
      <c r="E118">
        <v>2053</v>
      </c>
      <c r="F118" t="s">
        <v>1103</v>
      </c>
      <c r="G118" t="s">
        <v>1235</v>
      </c>
      <c r="H118" t="s">
        <v>1137</v>
      </c>
      <c r="I118" t="s">
        <v>1236</v>
      </c>
      <c r="J118" t="s">
        <v>987</v>
      </c>
      <c r="K118" t="b">
        <v>1</v>
      </c>
      <c r="L118" t="b">
        <v>0</v>
      </c>
      <c r="M118" t="s">
        <v>987</v>
      </c>
      <c r="N118" t="s">
        <v>1029</v>
      </c>
      <c r="O118" t="s">
        <v>990</v>
      </c>
      <c r="P118" t="s">
        <v>1030</v>
      </c>
      <c r="Q118" t="s">
        <v>1237</v>
      </c>
    </row>
    <row r="119" spans="1:17" x14ac:dyDescent="0.25">
      <c r="A119" t="s">
        <v>42</v>
      </c>
      <c r="B119" t="s">
        <v>1238</v>
      </c>
      <c r="C119" t="s">
        <v>333</v>
      </c>
      <c r="D119" t="s">
        <v>1016</v>
      </c>
      <c r="E119">
        <v>2441</v>
      </c>
      <c r="F119" t="s">
        <v>1103</v>
      </c>
      <c r="G119" t="s">
        <v>1239</v>
      </c>
      <c r="H119" t="s">
        <v>1137</v>
      </c>
      <c r="I119" t="s">
        <v>1066</v>
      </c>
      <c r="J119" t="s">
        <v>987</v>
      </c>
      <c r="K119" t="b">
        <v>1</v>
      </c>
      <c r="L119" t="b">
        <v>0</v>
      </c>
      <c r="M119" t="s">
        <v>987</v>
      </c>
      <c r="N119" t="s">
        <v>1029</v>
      </c>
      <c r="O119" t="s">
        <v>990</v>
      </c>
      <c r="P119" t="s">
        <v>1030</v>
      </c>
      <c r="Q119" t="s">
        <v>1213</v>
      </c>
    </row>
    <row r="120" spans="1:17" x14ac:dyDescent="0.25">
      <c r="A120" t="s">
        <v>42</v>
      </c>
      <c r="B120" t="s">
        <v>1240</v>
      </c>
      <c r="C120" t="s">
        <v>335</v>
      </c>
      <c r="D120" t="s">
        <v>985</v>
      </c>
      <c r="E120">
        <v>6319</v>
      </c>
      <c r="F120" t="s">
        <v>1103</v>
      </c>
      <c r="G120" t="s">
        <v>1241</v>
      </c>
      <c r="H120" t="s">
        <v>1137</v>
      </c>
      <c r="I120" t="s">
        <v>1159</v>
      </c>
      <c r="J120" t="s">
        <v>987</v>
      </c>
      <c r="K120" t="b">
        <v>1</v>
      </c>
      <c r="L120" t="b">
        <v>0</v>
      </c>
      <c r="M120" t="s">
        <v>987</v>
      </c>
      <c r="N120" t="s">
        <v>1029</v>
      </c>
      <c r="O120" t="s">
        <v>990</v>
      </c>
      <c r="P120" t="s">
        <v>1030</v>
      </c>
      <c r="Q120" t="s">
        <v>1242</v>
      </c>
    </row>
    <row r="121" spans="1:17" x14ac:dyDescent="0.25">
      <c r="A121" t="s">
        <v>42</v>
      </c>
      <c r="B121" t="s">
        <v>1243</v>
      </c>
      <c r="C121" t="s">
        <v>335</v>
      </c>
      <c r="D121" t="s">
        <v>994</v>
      </c>
      <c r="E121">
        <v>6268</v>
      </c>
      <c r="F121" t="s">
        <v>1103</v>
      </c>
      <c r="G121" t="s">
        <v>1244</v>
      </c>
      <c r="H121" t="s">
        <v>1137</v>
      </c>
      <c r="I121" t="s">
        <v>1034</v>
      </c>
      <c r="J121" t="s">
        <v>987</v>
      </c>
      <c r="K121" t="b">
        <v>1</v>
      </c>
      <c r="L121" t="b">
        <v>0</v>
      </c>
      <c r="M121" t="s">
        <v>987</v>
      </c>
      <c r="N121" t="s">
        <v>1029</v>
      </c>
      <c r="O121" t="s">
        <v>990</v>
      </c>
      <c r="P121" t="s">
        <v>1030</v>
      </c>
      <c r="Q121" t="s">
        <v>1242</v>
      </c>
    </row>
    <row r="122" spans="1:17" x14ac:dyDescent="0.25">
      <c r="A122" t="s">
        <v>42</v>
      </c>
      <c r="B122" t="s">
        <v>1245</v>
      </c>
      <c r="C122" t="s">
        <v>335</v>
      </c>
      <c r="D122" t="s">
        <v>996</v>
      </c>
      <c r="E122">
        <v>6260</v>
      </c>
      <c r="F122" t="s">
        <v>1103</v>
      </c>
      <c r="G122" t="s">
        <v>1246</v>
      </c>
      <c r="H122" t="s">
        <v>1137</v>
      </c>
      <c r="I122" t="s">
        <v>1037</v>
      </c>
      <c r="J122" t="s">
        <v>987</v>
      </c>
      <c r="K122" t="b">
        <v>1</v>
      </c>
      <c r="L122" t="b">
        <v>0</v>
      </c>
      <c r="M122" t="s">
        <v>987</v>
      </c>
      <c r="N122" t="s">
        <v>1029</v>
      </c>
      <c r="O122" t="s">
        <v>990</v>
      </c>
      <c r="P122" t="s">
        <v>1030</v>
      </c>
      <c r="Q122" t="s">
        <v>1242</v>
      </c>
    </row>
    <row r="123" spans="1:17" x14ac:dyDescent="0.25">
      <c r="A123" t="s">
        <v>42</v>
      </c>
      <c r="B123" t="s">
        <v>1247</v>
      </c>
      <c r="C123" t="s">
        <v>335</v>
      </c>
      <c r="D123" t="s">
        <v>998</v>
      </c>
      <c r="E123">
        <v>6236</v>
      </c>
      <c r="F123" t="s">
        <v>1103</v>
      </c>
      <c r="G123" t="s">
        <v>1248</v>
      </c>
      <c r="H123" t="s">
        <v>1137</v>
      </c>
      <c r="I123" t="s">
        <v>1166</v>
      </c>
      <c r="J123" t="s">
        <v>987</v>
      </c>
      <c r="K123" t="b">
        <v>1</v>
      </c>
      <c r="L123" t="b">
        <v>0</v>
      </c>
      <c r="M123" t="s">
        <v>987</v>
      </c>
      <c r="N123" t="s">
        <v>1029</v>
      </c>
      <c r="O123" t="s">
        <v>990</v>
      </c>
      <c r="P123" t="s">
        <v>1030</v>
      </c>
      <c r="Q123" t="s">
        <v>1242</v>
      </c>
    </row>
    <row r="124" spans="1:17" x14ac:dyDescent="0.25">
      <c r="A124" t="s">
        <v>42</v>
      </c>
      <c r="B124" t="s">
        <v>1249</v>
      </c>
      <c r="C124" t="s">
        <v>335</v>
      </c>
      <c r="D124" t="s">
        <v>1000</v>
      </c>
      <c r="E124">
        <v>5855</v>
      </c>
      <c r="F124" t="s">
        <v>1103</v>
      </c>
      <c r="G124" t="s">
        <v>1250</v>
      </c>
      <c r="H124" t="s">
        <v>1137</v>
      </c>
      <c r="I124" t="s">
        <v>1028</v>
      </c>
      <c r="J124" t="s">
        <v>987</v>
      </c>
      <c r="K124" t="b">
        <v>1</v>
      </c>
      <c r="L124" t="b">
        <v>0</v>
      </c>
      <c r="M124" t="s">
        <v>987</v>
      </c>
      <c r="N124" t="s">
        <v>1029</v>
      </c>
      <c r="O124" t="s">
        <v>990</v>
      </c>
      <c r="P124" t="s">
        <v>1030</v>
      </c>
      <c r="Q124" t="s">
        <v>1242</v>
      </c>
    </row>
    <row r="125" spans="1:17" x14ac:dyDescent="0.25">
      <c r="A125" t="s">
        <v>42</v>
      </c>
      <c r="B125" t="s">
        <v>1251</v>
      </c>
      <c r="C125" t="s">
        <v>335</v>
      </c>
      <c r="D125" t="s">
        <v>1002</v>
      </c>
      <c r="E125">
        <v>5857</v>
      </c>
      <c r="F125" t="s">
        <v>1103</v>
      </c>
      <c r="G125" t="s">
        <v>1252</v>
      </c>
      <c r="H125" t="s">
        <v>1137</v>
      </c>
      <c r="I125" t="s">
        <v>1045</v>
      </c>
      <c r="J125" t="s">
        <v>987</v>
      </c>
      <c r="K125" t="b">
        <v>1</v>
      </c>
      <c r="L125" t="b">
        <v>0</v>
      </c>
      <c r="M125" t="s">
        <v>987</v>
      </c>
      <c r="N125" t="s">
        <v>1029</v>
      </c>
      <c r="O125" t="s">
        <v>990</v>
      </c>
      <c r="P125" t="s">
        <v>1030</v>
      </c>
      <c r="Q125" t="s">
        <v>1242</v>
      </c>
    </row>
    <row r="126" spans="1:17" x14ac:dyDescent="0.25">
      <c r="A126" t="s">
        <v>42</v>
      </c>
      <c r="B126" t="s">
        <v>1253</v>
      </c>
      <c r="C126" t="s">
        <v>335</v>
      </c>
      <c r="D126" t="s">
        <v>1004</v>
      </c>
      <c r="E126">
        <v>5552</v>
      </c>
      <c r="F126" t="s">
        <v>1103</v>
      </c>
      <c r="G126" t="s">
        <v>1254</v>
      </c>
      <c r="H126" t="s">
        <v>1137</v>
      </c>
      <c r="I126" t="s">
        <v>1048</v>
      </c>
      <c r="J126" t="s">
        <v>987</v>
      </c>
      <c r="K126" t="b">
        <v>1</v>
      </c>
      <c r="L126" t="b">
        <v>0</v>
      </c>
      <c r="M126" t="s">
        <v>987</v>
      </c>
      <c r="N126" t="s">
        <v>1029</v>
      </c>
      <c r="O126" t="s">
        <v>990</v>
      </c>
      <c r="P126" t="s">
        <v>1030</v>
      </c>
      <c r="Q126" t="s">
        <v>1242</v>
      </c>
    </row>
    <row r="127" spans="1:17" x14ac:dyDescent="0.25">
      <c r="A127" t="s">
        <v>42</v>
      </c>
      <c r="B127" t="s">
        <v>1255</v>
      </c>
      <c r="C127" t="s">
        <v>335</v>
      </c>
      <c r="D127" t="s">
        <v>1006</v>
      </c>
      <c r="E127">
        <v>6049</v>
      </c>
      <c r="F127" t="s">
        <v>1103</v>
      </c>
      <c r="G127" t="s">
        <v>1256</v>
      </c>
      <c r="H127" t="s">
        <v>1137</v>
      </c>
      <c r="I127" t="s">
        <v>1154</v>
      </c>
      <c r="J127" t="s">
        <v>987</v>
      </c>
      <c r="K127" t="b">
        <v>1</v>
      </c>
      <c r="L127" t="b">
        <v>0</v>
      </c>
      <c r="M127" t="s">
        <v>987</v>
      </c>
      <c r="N127" t="s">
        <v>1029</v>
      </c>
      <c r="O127" t="s">
        <v>990</v>
      </c>
      <c r="P127" t="s">
        <v>1030</v>
      </c>
      <c r="Q127" t="s">
        <v>1242</v>
      </c>
    </row>
    <row r="128" spans="1:17" x14ac:dyDescent="0.25">
      <c r="A128" t="s">
        <v>42</v>
      </c>
      <c r="B128" t="s">
        <v>1257</v>
      </c>
      <c r="C128" t="s">
        <v>335</v>
      </c>
      <c r="D128" t="s">
        <v>1008</v>
      </c>
      <c r="E128">
        <v>5991</v>
      </c>
      <c r="F128" t="s">
        <v>1103</v>
      </c>
      <c r="G128" t="s">
        <v>1258</v>
      </c>
      <c r="H128" t="s">
        <v>1137</v>
      </c>
      <c r="I128" t="s">
        <v>1054</v>
      </c>
      <c r="J128" t="s">
        <v>987</v>
      </c>
      <c r="K128" t="b">
        <v>1</v>
      </c>
      <c r="L128" t="b">
        <v>0</v>
      </c>
      <c r="M128" t="s">
        <v>987</v>
      </c>
      <c r="N128" t="s">
        <v>1029</v>
      </c>
      <c r="O128" t="s">
        <v>990</v>
      </c>
      <c r="P128" t="s">
        <v>1030</v>
      </c>
      <c r="Q128" t="s">
        <v>1242</v>
      </c>
    </row>
    <row r="129" spans="1:17" x14ac:dyDescent="0.25">
      <c r="A129" t="s">
        <v>42</v>
      </c>
      <c r="B129" t="s">
        <v>1259</v>
      </c>
      <c r="C129" t="s">
        <v>335</v>
      </c>
      <c r="D129" t="s">
        <v>1010</v>
      </c>
      <c r="E129">
        <v>6024</v>
      </c>
      <c r="F129" t="s">
        <v>1103</v>
      </c>
      <c r="G129" t="s">
        <v>1260</v>
      </c>
      <c r="H129" t="s">
        <v>1137</v>
      </c>
      <c r="I129" t="s">
        <v>1057</v>
      </c>
      <c r="J129" t="s">
        <v>987</v>
      </c>
      <c r="K129" t="b">
        <v>1</v>
      </c>
      <c r="L129" t="b">
        <v>0</v>
      </c>
      <c r="M129" t="s">
        <v>987</v>
      </c>
      <c r="N129" t="s">
        <v>1029</v>
      </c>
      <c r="O129" t="s">
        <v>990</v>
      </c>
      <c r="P129" t="s">
        <v>1030</v>
      </c>
      <c r="Q129" t="s">
        <v>1242</v>
      </c>
    </row>
    <row r="130" spans="1:17" x14ac:dyDescent="0.25">
      <c r="A130" t="s">
        <v>42</v>
      </c>
      <c r="B130" t="s">
        <v>1261</v>
      </c>
      <c r="C130" t="s">
        <v>335</v>
      </c>
      <c r="D130" t="s">
        <v>1012</v>
      </c>
      <c r="E130">
        <v>6091</v>
      </c>
      <c r="F130" t="s">
        <v>1103</v>
      </c>
      <c r="G130" t="s">
        <v>1262</v>
      </c>
      <c r="H130" t="s">
        <v>1137</v>
      </c>
      <c r="I130" t="s">
        <v>1060</v>
      </c>
      <c r="J130" t="s">
        <v>987</v>
      </c>
      <c r="K130" t="b">
        <v>1</v>
      </c>
      <c r="L130" t="b">
        <v>0</v>
      </c>
      <c r="M130" t="s">
        <v>987</v>
      </c>
      <c r="N130" t="s">
        <v>1029</v>
      </c>
      <c r="O130" t="s">
        <v>990</v>
      </c>
      <c r="P130" t="s">
        <v>1030</v>
      </c>
      <c r="Q130" t="s">
        <v>1242</v>
      </c>
    </row>
    <row r="131" spans="1:17" x14ac:dyDescent="0.25">
      <c r="A131" t="s">
        <v>42</v>
      </c>
      <c r="B131" t="s">
        <v>1263</v>
      </c>
      <c r="C131" t="s">
        <v>335</v>
      </c>
      <c r="D131" t="s">
        <v>1014</v>
      </c>
      <c r="E131">
        <v>6315</v>
      </c>
      <c r="F131" t="s">
        <v>1103</v>
      </c>
      <c r="G131" t="s">
        <v>1264</v>
      </c>
      <c r="H131" t="s">
        <v>1137</v>
      </c>
      <c r="I131" t="s">
        <v>1154</v>
      </c>
      <c r="J131" t="s">
        <v>987</v>
      </c>
      <c r="K131" t="b">
        <v>1</v>
      </c>
      <c r="L131" t="b">
        <v>0</v>
      </c>
      <c r="M131" t="s">
        <v>987</v>
      </c>
      <c r="N131" t="s">
        <v>1029</v>
      </c>
      <c r="O131" t="s">
        <v>990</v>
      </c>
      <c r="P131" t="s">
        <v>1030</v>
      </c>
      <c r="Q131" t="s">
        <v>1265</v>
      </c>
    </row>
    <row r="132" spans="1:17" x14ac:dyDescent="0.25">
      <c r="A132" t="s">
        <v>42</v>
      </c>
      <c r="B132" t="s">
        <v>1266</v>
      </c>
      <c r="C132" t="s">
        <v>335</v>
      </c>
      <c r="D132" t="s">
        <v>1016</v>
      </c>
      <c r="E132">
        <v>6251</v>
      </c>
      <c r="F132" t="s">
        <v>1103</v>
      </c>
      <c r="G132" t="s">
        <v>1267</v>
      </c>
      <c r="H132" t="s">
        <v>1137</v>
      </c>
      <c r="I132" t="s">
        <v>1066</v>
      </c>
      <c r="J132" t="s">
        <v>987</v>
      </c>
      <c r="K132" t="b">
        <v>1</v>
      </c>
      <c r="L132" t="b">
        <v>0</v>
      </c>
      <c r="M132" t="s">
        <v>987</v>
      </c>
      <c r="N132" t="s">
        <v>1029</v>
      </c>
      <c r="O132" t="s">
        <v>990</v>
      </c>
      <c r="P132" t="s">
        <v>1030</v>
      </c>
      <c r="Q132" t="s">
        <v>1242</v>
      </c>
    </row>
    <row r="133" spans="1:17" x14ac:dyDescent="0.25">
      <c r="A133" t="s">
        <v>42</v>
      </c>
      <c r="B133" t="s">
        <v>1268</v>
      </c>
      <c r="C133" t="s">
        <v>336</v>
      </c>
      <c r="D133" t="s">
        <v>985</v>
      </c>
      <c r="E133">
        <v>716</v>
      </c>
      <c r="F133" t="s">
        <v>1103</v>
      </c>
      <c r="G133" t="s">
        <v>1269</v>
      </c>
      <c r="H133" t="s">
        <v>1137</v>
      </c>
      <c r="I133" t="s">
        <v>1159</v>
      </c>
      <c r="J133" t="s">
        <v>987</v>
      </c>
      <c r="K133" t="b">
        <v>1</v>
      </c>
      <c r="L133" t="b">
        <v>0</v>
      </c>
      <c r="M133" t="s">
        <v>987</v>
      </c>
      <c r="N133" t="s">
        <v>1029</v>
      </c>
      <c r="O133" t="s">
        <v>990</v>
      </c>
      <c r="P133" t="s">
        <v>1030</v>
      </c>
      <c r="Q133" t="s">
        <v>1270</v>
      </c>
    </row>
    <row r="134" spans="1:17" x14ac:dyDescent="0.25">
      <c r="A134" t="s">
        <v>42</v>
      </c>
      <c r="B134" t="s">
        <v>1271</v>
      </c>
      <c r="C134" t="s">
        <v>336</v>
      </c>
      <c r="D134" t="s">
        <v>994</v>
      </c>
      <c r="E134">
        <v>690</v>
      </c>
      <c r="F134" t="s">
        <v>1103</v>
      </c>
      <c r="G134" t="s">
        <v>1272</v>
      </c>
      <c r="H134" t="s">
        <v>1137</v>
      </c>
      <c r="I134" t="s">
        <v>1034</v>
      </c>
      <c r="J134" t="s">
        <v>987</v>
      </c>
      <c r="K134" t="b">
        <v>1</v>
      </c>
      <c r="L134" t="b">
        <v>0</v>
      </c>
      <c r="M134" t="s">
        <v>987</v>
      </c>
      <c r="N134" t="s">
        <v>1029</v>
      </c>
      <c r="O134" t="s">
        <v>990</v>
      </c>
      <c r="P134" t="s">
        <v>1030</v>
      </c>
      <c r="Q134" t="s">
        <v>1270</v>
      </c>
    </row>
    <row r="135" spans="1:17" x14ac:dyDescent="0.25">
      <c r="A135" t="s">
        <v>42</v>
      </c>
      <c r="B135" t="s">
        <v>1273</v>
      </c>
      <c r="C135" t="s">
        <v>336</v>
      </c>
      <c r="D135" t="s">
        <v>996</v>
      </c>
      <c r="E135">
        <v>682</v>
      </c>
      <c r="F135" t="s">
        <v>1103</v>
      </c>
      <c r="G135" t="s">
        <v>1274</v>
      </c>
      <c r="H135" t="s">
        <v>1137</v>
      </c>
      <c r="I135" t="s">
        <v>1037</v>
      </c>
      <c r="J135" t="s">
        <v>987</v>
      </c>
      <c r="K135" t="b">
        <v>1</v>
      </c>
      <c r="L135" t="b">
        <v>0</v>
      </c>
      <c r="M135" t="s">
        <v>987</v>
      </c>
      <c r="N135" t="s">
        <v>1029</v>
      </c>
      <c r="O135" t="s">
        <v>990</v>
      </c>
      <c r="P135" t="s">
        <v>1030</v>
      </c>
      <c r="Q135" t="s">
        <v>1270</v>
      </c>
    </row>
    <row r="136" spans="1:17" x14ac:dyDescent="0.25">
      <c r="A136" t="s">
        <v>42</v>
      </c>
      <c r="B136" t="s">
        <v>1275</v>
      </c>
      <c r="C136" t="s">
        <v>336</v>
      </c>
      <c r="D136" t="s">
        <v>998</v>
      </c>
      <c r="E136">
        <v>650</v>
      </c>
      <c r="F136" t="s">
        <v>1103</v>
      </c>
      <c r="G136" t="s">
        <v>1276</v>
      </c>
      <c r="H136" t="s">
        <v>1137</v>
      </c>
      <c r="I136" t="s">
        <v>1166</v>
      </c>
      <c r="J136" t="s">
        <v>987</v>
      </c>
      <c r="K136" t="b">
        <v>1</v>
      </c>
      <c r="L136" t="b">
        <v>0</v>
      </c>
      <c r="M136" t="s">
        <v>987</v>
      </c>
      <c r="N136" t="s">
        <v>1029</v>
      </c>
      <c r="O136" t="s">
        <v>990</v>
      </c>
      <c r="P136" t="s">
        <v>1030</v>
      </c>
      <c r="Q136" t="s">
        <v>1270</v>
      </c>
    </row>
    <row r="137" spans="1:17" x14ac:dyDescent="0.25">
      <c r="A137" t="s">
        <v>42</v>
      </c>
      <c r="B137" t="s">
        <v>1277</v>
      </c>
      <c r="C137" t="s">
        <v>336</v>
      </c>
      <c r="D137" t="s">
        <v>1000</v>
      </c>
      <c r="E137">
        <v>678</v>
      </c>
      <c r="F137" t="s">
        <v>1103</v>
      </c>
      <c r="G137" t="s">
        <v>1278</v>
      </c>
      <c r="H137" t="s">
        <v>1137</v>
      </c>
      <c r="I137" t="s">
        <v>1028</v>
      </c>
      <c r="J137" t="s">
        <v>987</v>
      </c>
      <c r="K137" t="b">
        <v>1</v>
      </c>
      <c r="L137" t="b">
        <v>0</v>
      </c>
      <c r="M137" t="s">
        <v>987</v>
      </c>
      <c r="N137" t="s">
        <v>1029</v>
      </c>
      <c r="O137" t="s">
        <v>990</v>
      </c>
      <c r="P137" t="s">
        <v>1030</v>
      </c>
      <c r="Q137" t="s">
        <v>1270</v>
      </c>
    </row>
    <row r="138" spans="1:17" x14ac:dyDescent="0.25">
      <c r="A138" t="s">
        <v>42</v>
      </c>
      <c r="B138" t="s">
        <v>1279</v>
      </c>
      <c r="C138" t="s">
        <v>336</v>
      </c>
      <c r="D138" t="s">
        <v>1002</v>
      </c>
      <c r="E138">
        <v>639</v>
      </c>
      <c r="F138" t="s">
        <v>1103</v>
      </c>
      <c r="G138" t="s">
        <v>1280</v>
      </c>
      <c r="H138" t="s">
        <v>1137</v>
      </c>
      <c r="I138" t="s">
        <v>1045</v>
      </c>
      <c r="J138" t="s">
        <v>987</v>
      </c>
      <c r="K138" t="b">
        <v>1</v>
      </c>
      <c r="L138" t="b">
        <v>0</v>
      </c>
      <c r="M138" t="s">
        <v>987</v>
      </c>
      <c r="N138" t="s">
        <v>1029</v>
      </c>
      <c r="O138" t="s">
        <v>990</v>
      </c>
      <c r="P138" t="s">
        <v>1030</v>
      </c>
      <c r="Q138" t="s">
        <v>1270</v>
      </c>
    </row>
    <row r="139" spans="1:17" x14ac:dyDescent="0.25">
      <c r="A139" t="s">
        <v>42</v>
      </c>
      <c r="B139" t="s">
        <v>1281</v>
      </c>
      <c r="C139" t="s">
        <v>336</v>
      </c>
      <c r="D139" t="s">
        <v>1004</v>
      </c>
      <c r="E139">
        <v>601</v>
      </c>
      <c r="F139" t="s">
        <v>1103</v>
      </c>
      <c r="G139" t="s">
        <v>1282</v>
      </c>
      <c r="H139" t="s">
        <v>1137</v>
      </c>
      <c r="I139" t="s">
        <v>1048</v>
      </c>
      <c r="J139" t="s">
        <v>987</v>
      </c>
      <c r="K139" t="b">
        <v>1</v>
      </c>
      <c r="L139" t="b">
        <v>0</v>
      </c>
      <c r="M139" t="s">
        <v>987</v>
      </c>
      <c r="N139" t="s">
        <v>1029</v>
      </c>
      <c r="O139" t="s">
        <v>990</v>
      </c>
      <c r="P139" t="s">
        <v>1030</v>
      </c>
      <c r="Q139" t="s">
        <v>1270</v>
      </c>
    </row>
    <row r="140" spans="1:17" x14ac:dyDescent="0.25">
      <c r="A140" t="s">
        <v>42</v>
      </c>
      <c r="B140" t="s">
        <v>1283</v>
      </c>
      <c r="C140" t="s">
        <v>336</v>
      </c>
      <c r="D140" t="s">
        <v>1006</v>
      </c>
      <c r="E140">
        <v>518</v>
      </c>
      <c r="F140" t="s">
        <v>1103</v>
      </c>
      <c r="G140" t="s">
        <v>1284</v>
      </c>
      <c r="H140" t="s">
        <v>1137</v>
      </c>
      <c r="I140" t="s">
        <v>1154</v>
      </c>
      <c r="J140" t="s">
        <v>987</v>
      </c>
      <c r="K140" t="b">
        <v>1</v>
      </c>
      <c r="L140" t="b">
        <v>0</v>
      </c>
      <c r="M140" t="s">
        <v>987</v>
      </c>
      <c r="N140" t="s">
        <v>1029</v>
      </c>
      <c r="O140" t="s">
        <v>990</v>
      </c>
      <c r="P140" t="s">
        <v>1030</v>
      </c>
      <c r="Q140" t="s">
        <v>1270</v>
      </c>
    </row>
    <row r="141" spans="1:17" x14ac:dyDescent="0.25">
      <c r="A141" t="s">
        <v>42</v>
      </c>
      <c r="B141" t="s">
        <v>1285</v>
      </c>
      <c r="C141" t="s">
        <v>336</v>
      </c>
      <c r="D141" t="s">
        <v>1008</v>
      </c>
      <c r="E141">
        <v>518</v>
      </c>
      <c r="F141" t="s">
        <v>1103</v>
      </c>
      <c r="G141" t="s">
        <v>1284</v>
      </c>
      <c r="H141" t="s">
        <v>1137</v>
      </c>
      <c r="I141" t="s">
        <v>1054</v>
      </c>
      <c r="J141" t="s">
        <v>987</v>
      </c>
      <c r="K141" t="b">
        <v>1</v>
      </c>
      <c r="L141" t="b">
        <v>0</v>
      </c>
      <c r="M141" t="s">
        <v>987</v>
      </c>
      <c r="N141" t="s">
        <v>1029</v>
      </c>
      <c r="O141" t="s">
        <v>990</v>
      </c>
      <c r="P141" t="s">
        <v>1030</v>
      </c>
      <c r="Q141" t="s">
        <v>1270</v>
      </c>
    </row>
    <row r="142" spans="1:17" x14ac:dyDescent="0.25">
      <c r="A142" t="s">
        <v>42</v>
      </c>
      <c r="B142" t="s">
        <v>1286</v>
      </c>
      <c r="C142" t="s">
        <v>336</v>
      </c>
      <c r="D142" t="s">
        <v>1010</v>
      </c>
      <c r="E142">
        <v>490</v>
      </c>
      <c r="F142" t="s">
        <v>1103</v>
      </c>
      <c r="G142" t="s">
        <v>1287</v>
      </c>
      <c r="H142" t="s">
        <v>1137</v>
      </c>
      <c r="I142" t="s">
        <v>1057</v>
      </c>
      <c r="J142" t="s">
        <v>987</v>
      </c>
      <c r="K142" t="b">
        <v>1</v>
      </c>
      <c r="L142" t="b">
        <v>0</v>
      </c>
      <c r="M142" t="s">
        <v>987</v>
      </c>
      <c r="N142" t="s">
        <v>1029</v>
      </c>
      <c r="O142" t="s">
        <v>990</v>
      </c>
      <c r="P142" t="s">
        <v>1030</v>
      </c>
      <c r="Q142" t="s">
        <v>1270</v>
      </c>
    </row>
    <row r="143" spans="1:17" x14ac:dyDescent="0.25">
      <c r="A143" t="s">
        <v>42</v>
      </c>
      <c r="B143" t="s">
        <v>1288</v>
      </c>
      <c r="C143" t="s">
        <v>336</v>
      </c>
      <c r="D143" t="s">
        <v>1012</v>
      </c>
      <c r="E143">
        <v>462</v>
      </c>
      <c r="F143" t="s">
        <v>1103</v>
      </c>
      <c r="G143" t="s">
        <v>1289</v>
      </c>
      <c r="H143" t="s">
        <v>1137</v>
      </c>
      <c r="I143" t="s">
        <v>1060</v>
      </c>
      <c r="J143" t="s">
        <v>987</v>
      </c>
      <c r="K143" t="b">
        <v>1</v>
      </c>
      <c r="L143" t="b">
        <v>0</v>
      </c>
      <c r="M143" t="s">
        <v>987</v>
      </c>
      <c r="N143" t="s">
        <v>1029</v>
      </c>
      <c r="O143" t="s">
        <v>990</v>
      </c>
      <c r="P143" t="s">
        <v>1030</v>
      </c>
      <c r="Q143" t="s">
        <v>1270</v>
      </c>
    </row>
    <row r="144" spans="1:17" x14ac:dyDescent="0.25">
      <c r="A144" t="s">
        <v>42</v>
      </c>
      <c r="B144" t="s">
        <v>1290</v>
      </c>
      <c r="C144" t="s">
        <v>336</v>
      </c>
      <c r="D144" t="s">
        <v>1014</v>
      </c>
      <c r="E144">
        <v>466</v>
      </c>
      <c r="F144" t="s">
        <v>1103</v>
      </c>
      <c r="G144" t="s">
        <v>1291</v>
      </c>
      <c r="H144" t="s">
        <v>1137</v>
      </c>
      <c r="I144" t="s">
        <v>1154</v>
      </c>
      <c r="J144" t="s">
        <v>987</v>
      </c>
      <c r="K144" t="b">
        <v>1</v>
      </c>
      <c r="L144" t="b">
        <v>0</v>
      </c>
      <c r="M144" t="s">
        <v>987</v>
      </c>
      <c r="N144" t="s">
        <v>1029</v>
      </c>
      <c r="O144" t="s">
        <v>990</v>
      </c>
      <c r="P144" t="s">
        <v>1030</v>
      </c>
      <c r="Q144" t="s">
        <v>1292</v>
      </c>
    </row>
    <row r="145" spans="1:17" x14ac:dyDescent="0.25">
      <c r="A145" t="s">
        <v>42</v>
      </c>
      <c r="B145" t="s">
        <v>1293</v>
      </c>
      <c r="C145" t="s">
        <v>336</v>
      </c>
      <c r="D145" t="s">
        <v>1016</v>
      </c>
      <c r="E145">
        <v>432</v>
      </c>
      <c r="F145" t="s">
        <v>1103</v>
      </c>
      <c r="G145" t="s">
        <v>1294</v>
      </c>
      <c r="H145" t="s">
        <v>1137</v>
      </c>
      <c r="I145" t="s">
        <v>1066</v>
      </c>
      <c r="J145" t="s">
        <v>987</v>
      </c>
      <c r="K145" t="b">
        <v>1</v>
      </c>
      <c r="L145" t="b">
        <v>0</v>
      </c>
      <c r="M145" t="s">
        <v>987</v>
      </c>
      <c r="N145" t="s">
        <v>1029</v>
      </c>
      <c r="O145" t="s">
        <v>990</v>
      </c>
      <c r="P145" t="s">
        <v>1030</v>
      </c>
      <c r="Q145" t="s">
        <v>1270</v>
      </c>
    </row>
    <row r="146" spans="1:17" x14ac:dyDescent="0.25">
      <c r="A146" t="s">
        <v>42</v>
      </c>
      <c r="B146" t="s">
        <v>1295</v>
      </c>
      <c r="C146" t="s">
        <v>337</v>
      </c>
      <c r="D146" t="s">
        <v>985</v>
      </c>
      <c r="E146">
        <v>10258</v>
      </c>
      <c r="F146" t="s">
        <v>1026</v>
      </c>
      <c r="G146" t="s">
        <v>1296</v>
      </c>
      <c r="H146" t="s">
        <v>1137</v>
      </c>
      <c r="I146" t="s">
        <v>1159</v>
      </c>
      <c r="J146" t="s">
        <v>987</v>
      </c>
      <c r="K146" t="b">
        <v>1</v>
      </c>
      <c r="L146" t="b">
        <v>0</v>
      </c>
      <c r="M146" t="s">
        <v>987</v>
      </c>
      <c r="N146" t="s">
        <v>1029</v>
      </c>
      <c r="O146" t="s">
        <v>990</v>
      </c>
      <c r="P146" t="s">
        <v>1030</v>
      </c>
      <c r="Q146" t="s">
        <v>987</v>
      </c>
    </row>
    <row r="147" spans="1:17" x14ac:dyDescent="0.25">
      <c r="A147" t="s">
        <v>42</v>
      </c>
      <c r="B147" t="s">
        <v>1297</v>
      </c>
      <c r="C147" t="s">
        <v>337</v>
      </c>
      <c r="D147" t="s">
        <v>994</v>
      </c>
      <c r="E147">
        <v>10350</v>
      </c>
      <c r="F147" t="s">
        <v>1026</v>
      </c>
      <c r="G147" t="s">
        <v>1298</v>
      </c>
      <c r="H147" t="s">
        <v>1137</v>
      </c>
      <c r="I147" t="s">
        <v>1034</v>
      </c>
      <c r="J147" t="s">
        <v>987</v>
      </c>
      <c r="K147" t="b">
        <v>1</v>
      </c>
      <c r="L147" t="b">
        <v>0</v>
      </c>
      <c r="M147" t="s">
        <v>987</v>
      </c>
      <c r="N147" t="s">
        <v>1029</v>
      </c>
      <c r="O147" t="s">
        <v>990</v>
      </c>
      <c r="P147" t="s">
        <v>1030</v>
      </c>
      <c r="Q147" t="s">
        <v>987</v>
      </c>
    </row>
    <row r="148" spans="1:17" x14ac:dyDescent="0.25">
      <c r="A148" t="s">
        <v>42</v>
      </c>
      <c r="B148" t="s">
        <v>1299</v>
      </c>
      <c r="C148" t="s">
        <v>337</v>
      </c>
      <c r="D148" t="s">
        <v>996</v>
      </c>
      <c r="E148">
        <v>10415</v>
      </c>
      <c r="F148" t="s">
        <v>1026</v>
      </c>
      <c r="G148" t="s">
        <v>1300</v>
      </c>
      <c r="H148" t="s">
        <v>1137</v>
      </c>
      <c r="I148" t="s">
        <v>1037</v>
      </c>
      <c r="J148" t="s">
        <v>987</v>
      </c>
      <c r="K148" t="b">
        <v>1</v>
      </c>
      <c r="L148" t="b">
        <v>0</v>
      </c>
      <c r="M148" t="s">
        <v>987</v>
      </c>
      <c r="N148" t="s">
        <v>1029</v>
      </c>
      <c r="O148" t="s">
        <v>990</v>
      </c>
      <c r="P148" t="s">
        <v>1030</v>
      </c>
      <c r="Q148" t="s">
        <v>987</v>
      </c>
    </row>
    <row r="149" spans="1:17" x14ac:dyDescent="0.25">
      <c r="A149" t="s">
        <v>42</v>
      </c>
      <c r="B149" t="s">
        <v>1301</v>
      </c>
      <c r="C149" t="s">
        <v>337</v>
      </c>
      <c r="D149" t="s">
        <v>998</v>
      </c>
      <c r="E149">
        <v>10307</v>
      </c>
      <c r="F149" t="s">
        <v>1026</v>
      </c>
      <c r="G149" t="s">
        <v>1302</v>
      </c>
      <c r="H149" t="s">
        <v>1137</v>
      </c>
      <c r="I149" t="s">
        <v>1166</v>
      </c>
      <c r="J149" t="s">
        <v>987</v>
      </c>
      <c r="K149" t="b">
        <v>1</v>
      </c>
      <c r="L149" t="b">
        <v>0</v>
      </c>
      <c r="M149" t="s">
        <v>987</v>
      </c>
      <c r="N149" t="s">
        <v>1029</v>
      </c>
      <c r="O149" t="s">
        <v>990</v>
      </c>
      <c r="P149" t="s">
        <v>1030</v>
      </c>
      <c r="Q149" t="s">
        <v>987</v>
      </c>
    </row>
    <row r="150" spans="1:17" x14ac:dyDescent="0.25">
      <c r="A150" t="s">
        <v>42</v>
      </c>
      <c r="B150" t="s">
        <v>1303</v>
      </c>
      <c r="C150" t="s">
        <v>337</v>
      </c>
      <c r="D150" t="s">
        <v>1000</v>
      </c>
      <c r="E150">
        <v>10568</v>
      </c>
      <c r="F150" t="s">
        <v>1026</v>
      </c>
      <c r="G150" t="s">
        <v>1304</v>
      </c>
      <c r="H150" t="s">
        <v>1137</v>
      </c>
      <c r="I150" t="s">
        <v>1028</v>
      </c>
      <c r="J150" t="s">
        <v>987</v>
      </c>
      <c r="K150" t="b">
        <v>1</v>
      </c>
      <c r="L150" t="b">
        <v>0</v>
      </c>
      <c r="M150" t="s">
        <v>987</v>
      </c>
      <c r="N150" t="s">
        <v>1029</v>
      </c>
      <c r="O150" t="s">
        <v>990</v>
      </c>
      <c r="P150" t="s">
        <v>1030</v>
      </c>
      <c r="Q150" t="s">
        <v>987</v>
      </c>
    </row>
    <row r="151" spans="1:17" x14ac:dyDescent="0.25">
      <c r="A151" t="s">
        <v>42</v>
      </c>
      <c r="B151" t="s">
        <v>1305</v>
      </c>
      <c r="C151" t="s">
        <v>337</v>
      </c>
      <c r="D151" t="s">
        <v>1002</v>
      </c>
      <c r="E151">
        <v>10799</v>
      </c>
      <c r="F151" t="s">
        <v>1026</v>
      </c>
      <c r="G151" t="s">
        <v>1306</v>
      </c>
      <c r="H151" t="s">
        <v>1137</v>
      </c>
      <c r="I151" t="s">
        <v>1057</v>
      </c>
      <c r="J151" t="s">
        <v>987</v>
      </c>
      <c r="K151" t="b">
        <v>1</v>
      </c>
      <c r="L151" t="b">
        <v>0</v>
      </c>
      <c r="M151" t="s">
        <v>987</v>
      </c>
      <c r="N151" t="s">
        <v>1029</v>
      </c>
      <c r="O151" t="s">
        <v>990</v>
      </c>
      <c r="P151" t="s">
        <v>1030</v>
      </c>
      <c r="Q151" t="s">
        <v>987</v>
      </c>
    </row>
    <row r="152" spans="1:17" x14ac:dyDescent="0.25">
      <c r="A152" t="s">
        <v>42</v>
      </c>
      <c r="B152" t="s">
        <v>1307</v>
      </c>
      <c r="C152" t="s">
        <v>337</v>
      </c>
      <c r="D152" t="s">
        <v>1004</v>
      </c>
      <c r="E152">
        <v>10588</v>
      </c>
      <c r="F152" t="s">
        <v>1026</v>
      </c>
      <c r="G152" t="s">
        <v>1308</v>
      </c>
      <c r="H152" t="s">
        <v>1137</v>
      </c>
      <c r="I152" t="s">
        <v>1060</v>
      </c>
      <c r="J152" t="s">
        <v>987</v>
      </c>
      <c r="K152" t="b">
        <v>1</v>
      </c>
      <c r="L152" t="b">
        <v>0</v>
      </c>
      <c r="M152" t="s">
        <v>987</v>
      </c>
      <c r="N152" t="s">
        <v>1029</v>
      </c>
      <c r="O152" t="s">
        <v>990</v>
      </c>
      <c r="P152" t="s">
        <v>1030</v>
      </c>
      <c r="Q152" t="s">
        <v>987</v>
      </c>
    </row>
    <row r="153" spans="1:17" x14ac:dyDescent="0.25">
      <c r="A153" t="s">
        <v>42</v>
      </c>
      <c r="B153" t="s">
        <v>1309</v>
      </c>
      <c r="C153" t="s">
        <v>337</v>
      </c>
      <c r="D153" t="s">
        <v>1006</v>
      </c>
      <c r="E153">
        <v>10691</v>
      </c>
      <c r="F153" t="s">
        <v>1026</v>
      </c>
      <c r="G153" t="s">
        <v>1310</v>
      </c>
      <c r="H153" t="s">
        <v>1137</v>
      </c>
      <c r="I153" t="s">
        <v>1154</v>
      </c>
      <c r="J153" t="s">
        <v>987</v>
      </c>
      <c r="K153" t="b">
        <v>1</v>
      </c>
      <c r="L153" t="b">
        <v>0</v>
      </c>
      <c r="M153" t="s">
        <v>987</v>
      </c>
      <c r="N153" t="s">
        <v>1029</v>
      </c>
      <c r="O153" t="s">
        <v>990</v>
      </c>
      <c r="P153" t="s">
        <v>1030</v>
      </c>
      <c r="Q153" t="s">
        <v>987</v>
      </c>
    </row>
    <row r="154" spans="1:17" x14ac:dyDescent="0.25">
      <c r="A154" t="s">
        <v>42</v>
      </c>
      <c r="B154" t="s">
        <v>1311</v>
      </c>
      <c r="C154" t="s">
        <v>337</v>
      </c>
      <c r="D154" t="s">
        <v>1008</v>
      </c>
      <c r="E154">
        <v>10786</v>
      </c>
      <c r="F154" t="s">
        <v>1026</v>
      </c>
      <c r="G154" t="s">
        <v>1312</v>
      </c>
      <c r="H154" t="s">
        <v>1137</v>
      </c>
      <c r="I154" t="s">
        <v>1066</v>
      </c>
      <c r="J154" t="s">
        <v>987</v>
      </c>
      <c r="K154" t="b">
        <v>1</v>
      </c>
      <c r="L154" t="b">
        <v>0</v>
      </c>
      <c r="M154" t="s">
        <v>987</v>
      </c>
      <c r="N154" t="s">
        <v>1029</v>
      </c>
      <c r="O154" t="s">
        <v>990</v>
      </c>
      <c r="P154" t="s">
        <v>1030</v>
      </c>
      <c r="Q154" t="s">
        <v>987</v>
      </c>
    </row>
    <row r="155" spans="1:17" x14ac:dyDescent="0.25">
      <c r="A155" t="s">
        <v>42</v>
      </c>
      <c r="B155" t="s">
        <v>1313</v>
      </c>
      <c r="C155" t="s">
        <v>337</v>
      </c>
      <c r="D155" t="s">
        <v>1010</v>
      </c>
      <c r="E155">
        <v>10935</v>
      </c>
      <c r="F155" t="s">
        <v>1026</v>
      </c>
      <c r="G155" t="s">
        <v>1314</v>
      </c>
      <c r="H155" t="s">
        <v>1137</v>
      </c>
      <c r="I155" t="s">
        <v>1057</v>
      </c>
      <c r="J155" t="s">
        <v>987</v>
      </c>
      <c r="K155" t="b">
        <v>1</v>
      </c>
      <c r="L155" t="b">
        <v>0</v>
      </c>
      <c r="M155" t="s">
        <v>987</v>
      </c>
      <c r="N155" t="s">
        <v>1029</v>
      </c>
      <c r="O155" t="s">
        <v>990</v>
      </c>
      <c r="P155" t="s">
        <v>1030</v>
      </c>
      <c r="Q155" t="s">
        <v>987</v>
      </c>
    </row>
    <row r="156" spans="1:17" x14ac:dyDescent="0.25">
      <c r="A156" t="s">
        <v>42</v>
      </c>
      <c r="B156" t="s">
        <v>1315</v>
      </c>
      <c r="C156" t="s">
        <v>337</v>
      </c>
      <c r="D156" t="s">
        <v>1012</v>
      </c>
      <c r="E156">
        <v>11158</v>
      </c>
      <c r="F156" t="s">
        <v>1026</v>
      </c>
      <c r="G156" t="s">
        <v>1316</v>
      </c>
      <c r="H156" t="s">
        <v>1137</v>
      </c>
      <c r="I156" t="s">
        <v>1060</v>
      </c>
      <c r="J156" t="s">
        <v>987</v>
      </c>
      <c r="K156" t="b">
        <v>1</v>
      </c>
      <c r="L156" t="b">
        <v>0</v>
      </c>
      <c r="M156" t="s">
        <v>987</v>
      </c>
      <c r="N156" t="s">
        <v>1029</v>
      </c>
      <c r="O156" t="s">
        <v>990</v>
      </c>
      <c r="P156" t="s">
        <v>1030</v>
      </c>
      <c r="Q156" t="s">
        <v>987</v>
      </c>
    </row>
    <row r="157" spans="1:17" x14ac:dyDescent="0.25">
      <c r="A157" t="s">
        <v>42</v>
      </c>
      <c r="B157" t="s">
        <v>1317</v>
      </c>
      <c r="C157" t="s">
        <v>337</v>
      </c>
      <c r="D157" t="s">
        <v>1014</v>
      </c>
      <c r="E157">
        <v>11198</v>
      </c>
      <c r="F157" t="s">
        <v>1026</v>
      </c>
      <c r="G157" t="s">
        <v>1318</v>
      </c>
      <c r="H157" t="s">
        <v>1137</v>
      </c>
      <c r="I157" t="s">
        <v>1154</v>
      </c>
      <c r="J157" t="s">
        <v>987</v>
      </c>
      <c r="K157" t="b">
        <v>1</v>
      </c>
      <c r="L157" t="b">
        <v>0</v>
      </c>
      <c r="M157" t="s">
        <v>987</v>
      </c>
      <c r="N157" t="s">
        <v>1029</v>
      </c>
      <c r="O157" t="s">
        <v>990</v>
      </c>
      <c r="P157" t="s">
        <v>1030</v>
      </c>
      <c r="Q157" t="s">
        <v>987</v>
      </c>
    </row>
    <row r="158" spans="1:17" x14ac:dyDescent="0.25">
      <c r="A158" t="s">
        <v>42</v>
      </c>
      <c r="B158" t="s">
        <v>1319</v>
      </c>
      <c r="C158" t="s">
        <v>337</v>
      </c>
      <c r="D158" t="s">
        <v>1016</v>
      </c>
      <c r="E158">
        <v>11387</v>
      </c>
      <c r="F158" t="s">
        <v>1026</v>
      </c>
      <c r="G158" t="s">
        <v>1320</v>
      </c>
      <c r="H158" t="s">
        <v>1137</v>
      </c>
      <c r="I158" t="s">
        <v>1066</v>
      </c>
      <c r="J158" t="s">
        <v>987</v>
      </c>
      <c r="K158" t="b">
        <v>1</v>
      </c>
      <c r="L158" t="b">
        <v>0</v>
      </c>
      <c r="M158" t="s">
        <v>987</v>
      </c>
      <c r="N158" t="s">
        <v>1029</v>
      </c>
      <c r="O158" t="s">
        <v>990</v>
      </c>
      <c r="P158" t="s">
        <v>1030</v>
      </c>
      <c r="Q158" t="s">
        <v>987</v>
      </c>
    </row>
    <row r="159" spans="1:17" x14ac:dyDescent="0.25">
      <c r="A159" t="s">
        <v>42</v>
      </c>
      <c r="B159" t="s">
        <v>1321</v>
      </c>
      <c r="C159" t="s">
        <v>338</v>
      </c>
      <c r="D159" t="s">
        <v>985</v>
      </c>
      <c r="E159">
        <v>1416</v>
      </c>
      <c r="F159" t="s">
        <v>1018</v>
      </c>
      <c r="G159" t="s">
        <v>987</v>
      </c>
      <c r="H159" t="s">
        <v>1137</v>
      </c>
      <c r="I159" t="s">
        <v>987</v>
      </c>
      <c r="J159" t="s">
        <v>987</v>
      </c>
      <c r="K159" t="b">
        <v>0</v>
      </c>
      <c r="L159" t="b">
        <v>1</v>
      </c>
      <c r="M159" t="s">
        <v>1020</v>
      </c>
      <c r="N159" t="s">
        <v>989</v>
      </c>
      <c r="O159" t="s">
        <v>1021</v>
      </c>
      <c r="P159" t="s">
        <v>1022</v>
      </c>
      <c r="Q159" t="s">
        <v>1023</v>
      </c>
    </row>
    <row r="160" spans="1:17" x14ac:dyDescent="0.25">
      <c r="A160" t="s">
        <v>42</v>
      </c>
      <c r="B160" t="s">
        <v>1322</v>
      </c>
      <c r="C160" t="s">
        <v>338</v>
      </c>
      <c r="D160" t="s">
        <v>994</v>
      </c>
      <c r="E160">
        <v>1179</v>
      </c>
      <c r="F160" t="s">
        <v>1018</v>
      </c>
      <c r="G160" t="s">
        <v>987</v>
      </c>
      <c r="H160" t="s">
        <v>1137</v>
      </c>
      <c r="I160" t="s">
        <v>987</v>
      </c>
      <c r="J160" t="s">
        <v>987</v>
      </c>
      <c r="K160" t="b">
        <v>0</v>
      </c>
      <c r="L160" t="b">
        <v>1</v>
      </c>
      <c r="M160" t="s">
        <v>1020</v>
      </c>
      <c r="N160" t="s">
        <v>989</v>
      </c>
      <c r="O160" t="s">
        <v>1021</v>
      </c>
      <c r="P160" t="s">
        <v>1022</v>
      </c>
      <c r="Q160" t="s">
        <v>1023</v>
      </c>
    </row>
    <row r="161" spans="1:17" x14ac:dyDescent="0.25">
      <c r="A161" t="s">
        <v>42</v>
      </c>
      <c r="B161" t="s">
        <v>1323</v>
      </c>
      <c r="C161" t="s">
        <v>338</v>
      </c>
      <c r="D161" t="s">
        <v>996</v>
      </c>
      <c r="E161">
        <v>1380</v>
      </c>
      <c r="F161" t="s">
        <v>1018</v>
      </c>
      <c r="G161" t="s">
        <v>987</v>
      </c>
      <c r="H161" t="s">
        <v>1137</v>
      </c>
      <c r="I161" t="s">
        <v>987</v>
      </c>
      <c r="J161" t="s">
        <v>987</v>
      </c>
      <c r="K161" t="b">
        <v>0</v>
      </c>
      <c r="L161" t="b">
        <v>1</v>
      </c>
      <c r="M161" t="s">
        <v>1020</v>
      </c>
      <c r="N161" t="s">
        <v>989</v>
      </c>
      <c r="O161" t="s">
        <v>1021</v>
      </c>
      <c r="P161" t="s">
        <v>1022</v>
      </c>
      <c r="Q161" t="s">
        <v>1023</v>
      </c>
    </row>
    <row r="162" spans="1:17" x14ac:dyDescent="0.25">
      <c r="A162" t="s">
        <v>42</v>
      </c>
      <c r="B162" t="s">
        <v>1324</v>
      </c>
      <c r="C162" t="s">
        <v>338</v>
      </c>
      <c r="D162" t="s">
        <v>998</v>
      </c>
      <c r="E162">
        <v>1545</v>
      </c>
      <c r="F162" t="s">
        <v>1018</v>
      </c>
      <c r="G162" t="s">
        <v>987</v>
      </c>
      <c r="H162" t="s">
        <v>1137</v>
      </c>
      <c r="I162" t="s">
        <v>987</v>
      </c>
      <c r="J162" t="s">
        <v>987</v>
      </c>
      <c r="K162" t="b">
        <v>0</v>
      </c>
      <c r="L162" t="b">
        <v>1</v>
      </c>
      <c r="M162" t="s">
        <v>1020</v>
      </c>
      <c r="N162" t="s">
        <v>989</v>
      </c>
      <c r="O162" t="s">
        <v>1021</v>
      </c>
      <c r="P162" t="s">
        <v>1022</v>
      </c>
      <c r="Q162" t="s">
        <v>1023</v>
      </c>
    </row>
    <row r="163" spans="1:17" x14ac:dyDescent="0.25">
      <c r="A163" t="s">
        <v>42</v>
      </c>
      <c r="B163" t="s">
        <v>1325</v>
      </c>
      <c r="C163" t="s">
        <v>338</v>
      </c>
      <c r="D163" t="s">
        <v>1000</v>
      </c>
      <c r="E163">
        <v>5431</v>
      </c>
      <c r="F163" t="s">
        <v>1018</v>
      </c>
      <c r="G163" t="s">
        <v>987</v>
      </c>
      <c r="H163" t="s">
        <v>1137</v>
      </c>
      <c r="I163" t="s">
        <v>987</v>
      </c>
      <c r="J163" t="s">
        <v>987</v>
      </c>
      <c r="K163" t="b">
        <v>0</v>
      </c>
      <c r="L163" t="b">
        <v>1</v>
      </c>
      <c r="M163" t="s">
        <v>1020</v>
      </c>
      <c r="N163" t="s">
        <v>989</v>
      </c>
      <c r="O163" t="s">
        <v>1021</v>
      </c>
      <c r="P163" t="s">
        <v>1022</v>
      </c>
      <c r="Q163" t="s">
        <v>1023</v>
      </c>
    </row>
    <row r="164" spans="1:17" x14ac:dyDescent="0.25">
      <c r="A164" t="s">
        <v>42</v>
      </c>
      <c r="B164" t="s">
        <v>1326</v>
      </c>
      <c r="C164" t="s">
        <v>338</v>
      </c>
      <c r="D164" t="s">
        <v>1002</v>
      </c>
      <c r="E164">
        <v>5393</v>
      </c>
      <c r="F164" t="s">
        <v>1018</v>
      </c>
      <c r="G164" t="s">
        <v>987</v>
      </c>
      <c r="H164" t="s">
        <v>1137</v>
      </c>
      <c r="I164" t="s">
        <v>987</v>
      </c>
      <c r="J164" t="s">
        <v>987</v>
      </c>
      <c r="K164" t="b">
        <v>0</v>
      </c>
      <c r="L164" t="b">
        <v>1</v>
      </c>
      <c r="M164" t="s">
        <v>1020</v>
      </c>
      <c r="N164" t="s">
        <v>989</v>
      </c>
      <c r="O164" t="s">
        <v>1021</v>
      </c>
      <c r="P164" t="s">
        <v>1022</v>
      </c>
      <c r="Q164" t="s">
        <v>1023</v>
      </c>
    </row>
    <row r="165" spans="1:17" x14ac:dyDescent="0.25">
      <c r="A165" t="s">
        <v>42</v>
      </c>
      <c r="B165" t="s">
        <v>1327</v>
      </c>
      <c r="C165" t="s">
        <v>338</v>
      </c>
      <c r="D165" t="s">
        <v>1004</v>
      </c>
      <c r="E165">
        <v>5428</v>
      </c>
      <c r="F165" t="s">
        <v>1018</v>
      </c>
      <c r="G165" t="s">
        <v>987</v>
      </c>
      <c r="H165" t="s">
        <v>1137</v>
      </c>
      <c r="I165" t="s">
        <v>987</v>
      </c>
      <c r="J165" t="s">
        <v>987</v>
      </c>
      <c r="K165" t="b">
        <v>0</v>
      </c>
      <c r="L165" t="b">
        <v>1</v>
      </c>
      <c r="M165" t="s">
        <v>1020</v>
      </c>
      <c r="N165" t="s">
        <v>989</v>
      </c>
      <c r="O165" t="s">
        <v>1021</v>
      </c>
      <c r="P165" t="s">
        <v>1022</v>
      </c>
      <c r="Q165" t="s">
        <v>1023</v>
      </c>
    </row>
    <row r="166" spans="1:17" x14ac:dyDescent="0.25">
      <c r="A166" t="s">
        <v>42</v>
      </c>
      <c r="B166" t="s">
        <v>1328</v>
      </c>
      <c r="C166" t="s">
        <v>338</v>
      </c>
      <c r="D166" t="s">
        <v>1006</v>
      </c>
      <c r="E166">
        <v>5181</v>
      </c>
      <c r="F166" t="s">
        <v>1018</v>
      </c>
      <c r="G166" t="s">
        <v>987</v>
      </c>
      <c r="H166" t="s">
        <v>1137</v>
      </c>
      <c r="I166" t="s">
        <v>987</v>
      </c>
      <c r="J166" t="s">
        <v>987</v>
      </c>
      <c r="K166" t="b">
        <v>0</v>
      </c>
      <c r="L166" t="b">
        <v>1</v>
      </c>
      <c r="M166" t="s">
        <v>1020</v>
      </c>
      <c r="N166" t="s">
        <v>989</v>
      </c>
      <c r="O166" t="s">
        <v>1021</v>
      </c>
      <c r="P166" t="s">
        <v>1022</v>
      </c>
      <c r="Q166" t="s">
        <v>1023</v>
      </c>
    </row>
    <row r="167" spans="1:17" x14ac:dyDescent="0.25">
      <c r="A167" t="s">
        <v>42</v>
      </c>
      <c r="B167" t="s">
        <v>1329</v>
      </c>
      <c r="C167" t="s">
        <v>338</v>
      </c>
      <c r="D167" t="s">
        <v>1008</v>
      </c>
      <c r="E167">
        <v>4029</v>
      </c>
      <c r="F167" t="s">
        <v>1103</v>
      </c>
      <c r="G167" t="s">
        <v>1330</v>
      </c>
      <c r="H167" t="s">
        <v>1137</v>
      </c>
      <c r="I167" t="s">
        <v>1331</v>
      </c>
      <c r="J167" t="s">
        <v>987</v>
      </c>
      <c r="K167" t="b">
        <v>1</v>
      </c>
      <c r="L167" t="b">
        <v>0</v>
      </c>
      <c r="M167" t="s">
        <v>987</v>
      </c>
      <c r="N167" t="s">
        <v>1029</v>
      </c>
      <c r="O167" t="s">
        <v>990</v>
      </c>
      <c r="P167" t="s">
        <v>1030</v>
      </c>
      <c r="Q167" t="s">
        <v>1332</v>
      </c>
    </row>
    <row r="168" spans="1:17" x14ac:dyDescent="0.25">
      <c r="A168" t="s">
        <v>42</v>
      </c>
      <c r="B168" t="s">
        <v>1333</v>
      </c>
      <c r="C168" t="s">
        <v>338</v>
      </c>
      <c r="D168" t="s">
        <v>1010</v>
      </c>
      <c r="E168">
        <v>3952</v>
      </c>
      <c r="F168" t="s">
        <v>1103</v>
      </c>
      <c r="G168" t="s">
        <v>1334</v>
      </c>
      <c r="H168" t="s">
        <v>1137</v>
      </c>
      <c r="I168" t="s">
        <v>1057</v>
      </c>
      <c r="J168" t="s">
        <v>987</v>
      </c>
      <c r="K168" t="b">
        <v>1</v>
      </c>
      <c r="L168" t="b">
        <v>0</v>
      </c>
      <c r="M168" t="s">
        <v>987</v>
      </c>
      <c r="N168" t="s">
        <v>1029</v>
      </c>
      <c r="O168" t="s">
        <v>990</v>
      </c>
      <c r="P168" t="s">
        <v>1030</v>
      </c>
      <c r="Q168" t="s">
        <v>1332</v>
      </c>
    </row>
    <row r="169" spans="1:17" x14ac:dyDescent="0.25">
      <c r="A169" t="s">
        <v>42</v>
      </c>
      <c r="B169" t="s">
        <v>1335</v>
      </c>
      <c r="C169" t="s">
        <v>338</v>
      </c>
      <c r="D169" t="s">
        <v>1012</v>
      </c>
      <c r="E169">
        <v>3897</v>
      </c>
      <c r="F169" t="s">
        <v>1103</v>
      </c>
      <c r="G169" t="s">
        <v>1336</v>
      </c>
      <c r="H169" t="s">
        <v>1137</v>
      </c>
      <c r="I169" t="s">
        <v>1060</v>
      </c>
      <c r="J169" t="s">
        <v>987</v>
      </c>
      <c r="K169" t="b">
        <v>1</v>
      </c>
      <c r="L169" t="b">
        <v>0</v>
      </c>
      <c r="M169" t="s">
        <v>987</v>
      </c>
      <c r="N169" t="s">
        <v>1029</v>
      </c>
      <c r="O169" t="s">
        <v>990</v>
      </c>
      <c r="P169" t="s">
        <v>1030</v>
      </c>
      <c r="Q169" t="s">
        <v>1332</v>
      </c>
    </row>
    <row r="170" spans="1:17" x14ac:dyDescent="0.25">
      <c r="A170" t="s">
        <v>42</v>
      </c>
      <c r="B170" t="s">
        <v>1337</v>
      </c>
      <c r="C170" t="s">
        <v>338</v>
      </c>
      <c r="D170" t="s">
        <v>1014</v>
      </c>
      <c r="E170">
        <v>3849</v>
      </c>
      <c r="F170" t="s">
        <v>1103</v>
      </c>
      <c r="G170" t="s">
        <v>1338</v>
      </c>
      <c r="H170" t="s">
        <v>1137</v>
      </c>
      <c r="I170" t="s">
        <v>1339</v>
      </c>
      <c r="J170" t="s">
        <v>987</v>
      </c>
      <c r="K170" t="b">
        <v>1</v>
      </c>
      <c r="L170" t="b">
        <v>0</v>
      </c>
      <c r="M170" t="s">
        <v>987</v>
      </c>
      <c r="N170" t="s">
        <v>1029</v>
      </c>
      <c r="O170" t="s">
        <v>990</v>
      </c>
      <c r="P170" t="s">
        <v>1030</v>
      </c>
      <c r="Q170" t="s">
        <v>1340</v>
      </c>
    </row>
    <row r="171" spans="1:17" x14ac:dyDescent="0.25">
      <c r="A171" t="s">
        <v>42</v>
      </c>
      <c r="B171" t="s">
        <v>1341</v>
      </c>
      <c r="C171" t="s">
        <v>338</v>
      </c>
      <c r="D171" t="s">
        <v>1016</v>
      </c>
      <c r="E171">
        <v>5325</v>
      </c>
      <c r="F171" t="s">
        <v>1018</v>
      </c>
      <c r="G171" t="s">
        <v>987</v>
      </c>
      <c r="H171" t="s">
        <v>1137</v>
      </c>
      <c r="I171" t="s">
        <v>987</v>
      </c>
      <c r="J171" t="s">
        <v>987</v>
      </c>
      <c r="K171" t="b">
        <v>0</v>
      </c>
      <c r="L171" t="b">
        <v>1</v>
      </c>
      <c r="M171" t="s">
        <v>1020</v>
      </c>
      <c r="N171" t="s">
        <v>989</v>
      </c>
      <c r="O171" t="s">
        <v>1021</v>
      </c>
      <c r="P171" t="s">
        <v>1022</v>
      </c>
      <c r="Q171" t="s">
        <v>1023</v>
      </c>
    </row>
    <row r="172" spans="1:17" x14ac:dyDescent="0.25">
      <c r="A172" t="s">
        <v>42</v>
      </c>
      <c r="B172" t="s">
        <v>1342</v>
      </c>
      <c r="C172" t="s">
        <v>338</v>
      </c>
      <c r="D172" t="s">
        <v>1115</v>
      </c>
      <c r="E172">
        <v>5290</v>
      </c>
      <c r="F172" t="s">
        <v>1018</v>
      </c>
      <c r="G172" t="s">
        <v>987</v>
      </c>
      <c r="H172" t="s">
        <v>1137</v>
      </c>
      <c r="I172" t="s">
        <v>987</v>
      </c>
      <c r="J172" t="s">
        <v>987</v>
      </c>
      <c r="K172" t="b">
        <v>0</v>
      </c>
      <c r="L172" t="b">
        <v>1</v>
      </c>
      <c r="M172" t="s">
        <v>1020</v>
      </c>
      <c r="N172" t="s">
        <v>989</v>
      </c>
      <c r="O172" t="s">
        <v>1021</v>
      </c>
      <c r="P172" t="s">
        <v>1022</v>
      </c>
      <c r="Q172" t="s">
        <v>1023</v>
      </c>
    </row>
    <row r="173" spans="1:17" x14ac:dyDescent="0.25">
      <c r="A173" t="s">
        <v>42</v>
      </c>
      <c r="B173" t="s">
        <v>1343</v>
      </c>
      <c r="C173" t="s">
        <v>341</v>
      </c>
      <c r="D173" t="s">
        <v>985</v>
      </c>
      <c r="E173">
        <v>1192</v>
      </c>
      <c r="F173" t="s">
        <v>1103</v>
      </c>
      <c r="G173" t="s">
        <v>1344</v>
      </c>
      <c r="H173" t="s">
        <v>1137</v>
      </c>
      <c r="I173" t="s">
        <v>1159</v>
      </c>
      <c r="J173" t="s">
        <v>987</v>
      </c>
      <c r="K173" t="b">
        <v>1</v>
      </c>
      <c r="L173" t="b">
        <v>0</v>
      </c>
      <c r="M173" t="s">
        <v>987</v>
      </c>
      <c r="N173" t="s">
        <v>1029</v>
      </c>
      <c r="O173" t="s">
        <v>990</v>
      </c>
      <c r="P173" t="s">
        <v>1030</v>
      </c>
      <c r="Q173" t="s">
        <v>1345</v>
      </c>
    </row>
    <row r="174" spans="1:17" x14ac:dyDescent="0.25">
      <c r="A174" t="s">
        <v>42</v>
      </c>
      <c r="B174" t="s">
        <v>1346</v>
      </c>
      <c r="C174" t="s">
        <v>341</v>
      </c>
      <c r="D174" t="s">
        <v>994</v>
      </c>
      <c r="E174">
        <v>1246</v>
      </c>
      <c r="F174" t="s">
        <v>1103</v>
      </c>
      <c r="G174" t="s">
        <v>1347</v>
      </c>
      <c r="H174" t="s">
        <v>1137</v>
      </c>
      <c r="I174" t="s">
        <v>1034</v>
      </c>
      <c r="J174" t="s">
        <v>987</v>
      </c>
      <c r="K174" t="b">
        <v>1</v>
      </c>
      <c r="L174" t="b">
        <v>0</v>
      </c>
      <c r="M174" t="s">
        <v>987</v>
      </c>
      <c r="N174" t="s">
        <v>1029</v>
      </c>
      <c r="O174" t="s">
        <v>990</v>
      </c>
      <c r="P174" t="s">
        <v>1030</v>
      </c>
      <c r="Q174" t="s">
        <v>1345</v>
      </c>
    </row>
    <row r="175" spans="1:17" x14ac:dyDescent="0.25">
      <c r="A175" t="s">
        <v>42</v>
      </c>
      <c r="B175" t="s">
        <v>1348</v>
      </c>
      <c r="C175" t="s">
        <v>341</v>
      </c>
      <c r="D175" t="s">
        <v>996</v>
      </c>
      <c r="E175">
        <v>1202</v>
      </c>
      <c r="F175" t="s">
        <v>1103</v>
      </c>
      <c r="G175" t="s">
        <v>1349</v>
      </c>
      <c r="H175" t="s">
        <v>1137</v>
      </c>
      <c r="I175" t="s">
        <v>1037</v>
      </c>
      <c r="J175" t="s">
        <v>987</v>
      </c>
      <c r="K175" t="b">
        <v>1</v>
      </c>
      <c r="L175" t="b">
        <v>0</v>
      </c>
      <c r="M175" t="s">
        <v>987</v>
      </c>
      <c r="N175" t="s">
        <v>1029</v>
      </c>
      <c r="O175" t="s">
        <v>990</v>
      </c>
      <c r="P175" t="s">
        <v>1030</v>
      </c>
      <c r="Q175" t="s">
        <v>1345</v>
      </c>
    </row>
    <row r="176" spans="1:17" x14ac:dyDescent="0.25">
      <c r="A176" t="s">
        <v>42</v>
      </c>
      <c r="B176" t="s">
        <v>1350</v>
      </c>
      <c r="C176" t="s">
        <v>341</v>
      </c>
      <c r="D176" t="s">
        <v>998</v>
      </c>
      <c r="E176">
        <v>1408</v>
      </c>
      <c r="F176" t="s">
        <v>1103</v>
      </c>
      <c r="G176" t="s">
        <v>1351</v>
      </c>
      <c r="H176" t="s">
        <v>1137</v>
      </c>
      <c r="I176" t="s">
        <v>1166</v>
      </c>
      <c r="J176" t="s">
        <v>987</v>
      </c>
      <c r="K176" t="b">
        <v>1</v>
      </c>
      <c r="L176" t="b">
        <v>0</v>
      </c>
      <c r="M176" t="s">
        <v>987</v>
      </c>
      <c r="N176" t="s">
        <v>1029</v>
      </c>
      <c r="O176" t="s">
        <v>990</v>
      </c>
      <c r="P176" t="s">
        <v>1030</v>
      </c>
      <c r="Q176" t="s">
        <v>1345</v>
      </c>
    </row>
    <row r="177" spans="1:17" x14ac:dyDescent="0.25">
      <c r="A177" t="s">
        <v>42</v>
      </c>
      <c r="B177" t="s">
        <v>1352</v>
      </c>
      <c r="C177" t="s">
        <v>341</v>
      </c>
      <c r="D177" t="s">
        <v>1000</v>
      </c>
      <c r="E177">
        <v>1335</v>
      </c>
      <c r="F177" t="s">
        <v>1103</v>
      </c>
      <c r="G177" t="s">
        <v>1353</v>
      </c>
      <c r="H177" t="s">
        <v>1137</v>
      </c>
      <c r="I177" t="s">
        <v>1028</v>
      </c>
      <c r="J177" t="s">
        <v>987</v>
      </c>
      <c r="K177" t="b">
        <v>1</v>
      </c>
      <c r="L177" t="b">
        <v>0</v>
      </c>
      <c r="M177" t="s">
        <v>987</v>
      </c>
      <c r="N177" t="s">
        <v>1029</v>
      </c>
      <c r="O177" t="s">
        <v>990</v>
      </c>
      <c r="P177" t="s">
        <v>1030</v>
      </c>
      <c r="Q177" t="s">
        <v>1345</v>
      </c>
    </row>
    <row r="178" spans="1:17" x14ac:dyDescent="0.25">
      <c r="A178" t="s">
        <v>42</v>
      </c>
      <c r="B178" t="s">
        <v>1354</v>
      </c>
      <c r="C178" t="s">
        <v>341</v>
      </c>
      <c r="D178" t="s">
        <v>1002</v>
      </c>
      <c r="E178">
        <v>1270</v>
      </c>
      <c r="F178" t="s">
        <v>1103</v>
      </c>
      <c r="G178" t="s">
        <v>1355</v>
      </c>
      <c r="H178" t="s">
        <v>1137</v>
      </c>
      <c r="I178" t="s">
        <v>1045</v>
      </c>
      <c r="J178" t="s">
        <v>987</v>
      </c>
      <c r="K178" t="b">
        <v>1</v>
      </c>
      <c r="L178" t="b">
        <v>0</v>
      </c>
      <c r="M178" t="s">
        <v>987</v>
      </c>
      <c r="N178" t="s">
        <v>1029</v>
      </c>
      <c r="O178" t="s">
        <v>990</v>
      </c>
      <c r="P178" t="s">
        <v>1030</v>
      </c>
      <c r="Q178" t="s">
        <v>1345</v>
      </c>
    </row>
    <row r="179" spans="1:17" x14ac:dyDescent="0.25">
      <c r="A179" t="s">
        <v>42</v>
      </c>
      <c r="B179" t="s">
        <v>1356</v>
      </c>
      <c r="C179" t="s">
        <v>341</v>
      </c>
      <c r="D179" t="s">
        <v>1004</v>
      </c>
      <c r="E179">
        <v>1265</v>
      </c>
      <c r="F179" t="s">
        <v>1103</v>
      </c>
      <c r="G179" t="s">
        <v>1357</v>
      </c>
      <c r="H179" t="s">
        <v>1137</v>
      </c>
      <c r="I179" t="s">
        <v>1048</v>
      </c>
      <c r="J179" t="s">
        <v>987</v>
      </c>
      <c r="K179" t="b">
        <v>1</v>
      </c>
      <c r="L179" t="b">
        <v>0</v>
      </c>
      <c r="M179" t="s">
        <v>987</v>
      </c>
      <c r="N179" t="s">
        <v>1029</v>
      </c>
      <c r="O179" t="s">
        <v>990</v>
      </c>
      <c r="P179" t="s">
        <v>1030</v>
      </c>
      <c r="Q179" t="s">
        <v>1345</v>
      </c>
    </row>
    <row r="180" spans="1:17" x14ac:dyDescent="0.25">
      <c r="A180" t="s">
        <v>42</v>
      </c>
      <c r="B180" t="s">
        <v>1358</v>
      </c>
      <c r="C180" t="s">
        <v>341</v>
      </c>
      <c r="D180" t="s">
        <v>1006</v>
      </c>
      <c r="E180">
        <v>1294</v>
      </c>
      <c r="F180" t="s">
        <v>1103</v>
      </c>
      <c r="G180" t="s">
        <v>1359</v>
      </c>
      <c r="H180" t="s">
        <v>1137</v>
      </c>
      <c r="I180" t="s">
        <v>1154</v>
      </c>
      <c r="J180" t="s">
        <v>987</v>
      </c>
      <c r="K180" t="b">
        <v>1</v>
      </c>
      <c r="L180" t="b">
        <v>0</v>
      </c>
      <c r="M180" t="s">
        <v>987</v>
      </c>
      <c r="N180" t="s">
        <v>1029</v>
      </c>
      <c r="O180" t="s">
        <v>990</v>
      </c>
      <c r="P180" t="s">
        <v>1030</v>
      </c>
      <c r="Q180" t="s">
        <v>1345</v>
      </c>
    </row>
    <row r="181" spans="1:17" x14ac:dyDescent="0.25">
      <c r="A181" t="s">
        <v>42</v>
      </c>
      <c r="B181" t="s">
        <v>1360</v>
      </c>
      <c r="C181" t="s">
        <v>341</v>
      </c>
      <c r="D181" t="s">
        <v>1008</v>
      </c>
      <c r="E181">
        <v>1327</v>
      </c>
      <c r="F181" t="s">
        <v>1103</v>
      </c>
      <c r="G181" t="s">
        <v>1361</v>
      </c>
      <c r="H181" t="s">
        <v>1137</v>
      </c>
      <c r="I181" t="s">
        <v>1054</v>
      </c>
      <c r="J181" t="s">
        <v>987</v>
      </c>
      <c r="K181" t="b">
        <v>1</v>
      </c>
      <c r="L181" t="b">
        <v>0</v>
      </c>
      <c r="M181" t="s">
        <v>987</v>
      </c>
      <c r="N181" t="s">
        <v>1029</v>
      </c>
      <c r="O181" t="s">
        <v>990</v>
      </c>
      <c r="P181" t="s">
        <v>1030</v>
      </c>
      <c r="Q181" t="s">
        <v>1345</v>
      </c>
    </row>
    <row r="182" spans="1:17" x14ac:dyDescent="0.25">
      <c r="A182" t="s">
        <v>42</v>
      </c>
      <c r="B182" t="s">
        <v>1362</v>
      </c>
      <c r="C182" t="s">
        <v>341</v>
      </c>
      <c r="D182" t="s">
        <v>1010</v>
      </c>
      <c r="E182">
        <v>1360</v>
      </c>
      <c r="F182" t="s">
        <v>1103</v>
      </c>
      <c r="G182" t="s">
        <v>1363</v>
      </c>
      <c r="H182" t="s">
        <v>1137</v>
      </c>
      <c r="I182" t="s">
        <v>1057</v>
      </c>
      <c r="J182" t="s">
        <v>987</v>
      </c>
      <c r="K182" t="b">
        <v>1</v>
      </c>
      <c r="L182" t="b">
        <v>0</v>
      </c>
      <c r="M182" t="s">
        <v>987</v>
      </c>
      <c r="N182" t="s">
        <v>1029</v>
      </c>
      <c r="O182" t="s">
        <v>990</v>
      </c>
      <c r="P182" t="s">
        <v>1030</v>
      </c>
      <c r="Q182" t="s">
        <v>1345</v>
      </c>
    </row>
    <row r="183" spans="1:17" x14ac:dyDescent="0.25">
      <c r="A183" t="s">
        <v>42</v>
      </c>
      <c r="B183" t="s">
        <v>1364</v>
      </c>
      <c r="C183" t="s">
        <v>341</v>
      </c>
      <c r="D183" t="s">
        <v>1012</v>
      </c>
      <c r="E183">
        <v>1356</v>
      </c>
      <c r="F183" t="s">
        <v>1103</v>
      </c>
      <c r="G183" t="s">
        <v>1365</v>
      </c>
      <c r="H183" t="s">
        <v>1137</v>
      </c>
      <c r="I183" t="s">
        <v>1060</v>
      </c>
      <c r="J183" t="s">
        <v>987</v>
      </c>
      <c r="K183" t="b">
        <v>1</v>
      </c>
      <c r="L183" t="b">
        <v>0</v>
      </c>
      <c r="M183" t="s">
        <v>987</v>
      </c>
      <c r="N183" t="s">
        <v>1029</v>
      </c>
      <c r="O183" t="s">
        <v>990</v>
      </c>
      <c r="P183" t="s">
        <v>1030</v>
      </c>
      <c r="Q183" t="s">
        <v>1345</v>
      </c>
    </row>
    <row r="184" spans="1:17" x14ac:dyDescent="0.25">
      <c r="A184" t="s">
        <v>42</v>
      </c>
      <c r="B184" t="s">
        <v>1366</v>
      </c>
      <c r="C184" t="s">
        <v>341</v>
      </c>
      <c r="D184" t="s">
        <v>1014</v>
      </c>
      <c r="E184">
        <v>1360</v>
      </c>
      <c r="F184" t="s">
        <v>1103</v>
      </c>
      <c r="G184" t="s">
        <v>1363</v>
      </c>
      <c r="H184" t="s">
        <v>1137</v>
      </c>
      <c r="I184" t="s">
        <v>1154</v>
      </c>
      <c r="J184" t="s">
        <v>987</v>
      </c>
      <c r="K184" t="b">
        <v>1</v>
      </c>
      <c r="L184" t="b">
        <v>0</v>
      </c>
      <c r="M184" t="s">
        <v>987</v>
      </c>
      <c r="N184" t="s">
        <v>1029</v>
      </c>
      <c r="O184" t="s">
        <v>990</v>
      </c>
      <c r="P184" t="s">
        <v>1030</v>
      </c>
      <c r="Q184" t="s">
        <v>1367</v>
      </c>
    </row>
    <row r="185" spans="1:17" x14ac:dyDescent="0.25">
      <c r="A185" t="s">
        <v>42</v>
      </c>
      <c r="B185" t="s">
        <v>1368</v>
      </c>
      <c r="C185" t="s">
        <v>341</v>
      </c>
      <c r="D185" t="s">
        <v>1016</v>
      </c>
      <c r="E185">
        <v>1339</v>
      </c>
      <c r="F185" t="s">
        <v>1103</v>
      </c>
      <c r="G185" t="s">
        <v>1369</v>
      </c>
      <c r="H185" t="s">
        <v>1137</v>
      </c>
      <c r="I185" t="s">
        <v>1066</v>
      </c>
      <c r="J185" t="s">
        <v>987</v>
      </c>
      <c r="K185" t="b">
        <v>1</v>
      </c>
      <c r="L185" t="b">
        <v>0</v>
      </c>
      <c r="M185" t="s">
        <v>987</v>
      </c>
      <c r="N185" t="s">
        <v>1029</v>
      </c>
      <c r="O185" t="s">
        <v>990</v>
      </c>
      <c r="P185" t="s">
        <v>1030</v>
      </c>
      <c r="Q185" t="s">
        <v>1345</v>
      </c>
    </row>
    <row r="186" spans="1:17" x14ac:dyDescent="0.25">
      <c r="A186" t="s">
        <v>42</v>
      </c>
      <c r="B186" t="s">
        <v>1370</v>
      </c>
      <c r="C186" t="s">
        <v>342</v>
      </c>
      <c r="D186" t="s">
        <v>985</v>
      </c>
      <c r="E186">
        <v>2951</v>
      </c>
      <c r="F186" t="s">
        <v>1103</v>
      </c>
      <c r="G186" t="s">
        <v>1371</v>
      </c>
      <c r="H186" t="s">
        <v>1137</v>
      </c>
      <c r="I186" t="s">
        <v>1159</v>
      </c>
      <c r="J186" t="s">
        <v>987</v>
      </c>
      <c r="K186" t="b">
        <v>1</v>
      </c>
      <c r="L186" t="b">
        <v>0</v>
      </c>
      <c r="M186" t="s">
        <v>987</v>
      </c>
      <c r="N186" t="s">
        <v>1029</v>
      </c>
      <c r="O186" t="s">
        <v>990</v>
      </c>
      <c r="P186" t="s">
        <v>1030</v>
      </c>
      <c r="Q186" t="s">
        <v>1372</v>
      </c>
    </row>
    <row r="187" spans="1:17" x14ac:dyDescent="0.25">
      <c r="A187" t="s">
        <v>42</v>
      </c>
      <c r="B187" t="s">
        <v>1373</v>
      </c>
      <c r="C187" t="s">
        <v>342</v>
      </c>
      <c r="D187" t="s">
        <v>994</v>
      </c>
      <c r="E187">
        <v>2830</v>
      </c>
      <c r="F187" t="s">
        <v>1103</v>
      </c>
      <c r="G187" t="s">
        <v>1374</v>
      </c>
      <c r="H187" t="s">
        <v>1137</v>
      </c>
      <c r="I187" t="s">
        <v>1034</v>
      </c>
      <c r="J187" t="s">
        <v>987</v>
      </c>
      <c r="K187" t="b">
        <v>1</v>
      </c>
      <c r="L187" t="b">
        <v>0</v>
      </c>
      <c r="M187" t="s">
        <v>987</v>
      </c>
      <c r="N187" t="s">
        <v>1029</v>
      </c>
      <c r="O187" t="s">
        <v>990</v>
      </c>
      <c r="P187" t="s">
        <v>1030</v>
      </c>
      <c r="Q187" t="s">
        <v>1372</v>
      </c>
    </row>
    <row r="188" spans="1:17" x14ac:dyDescent="0.25">
      <c r="A188" t="s">
        <v>42</v>
      </c>
      <c r="B188" t="s">
        <v>1375</v>
      </c>
      <c r="C188" t="s">
        <v>342</v>
      </c>
      <c r="D188" t="s">
        <v>996</v>
      </c>
      <c r="E188">
        <v>3144</v>
      </c>
      <c r="F188" t="s">
        <v>1103</v>
      </c>
      <c r="G188" t="s">
        <v>1376</v>
      </c>
      <c r="H188" t="s">
        <v>1137</v>
      </c>
      <c r="I188" t="s">
        <v>1037</v>
      </c>
      <c r="J188" t="s">
        <v>987</v>
      </c>
      <c r="K188" t="b">
        <v>1</v>
      </c>
      <c r="L188" t="b">
        <v>0</v>
      </c>
      <c r="M188" t="s">
        <v>987</v>
      </c>
      <c r="N188" t="s">
        <v>1029</v>
      </c>
      <c r="O188" t="s">
        <v>990</v>
      </c>
      <c r="P188" t="s">
        <v>1030</v>
      </c>
      <c r="Q188" t="s">
        <v>1372</v>
      </c>
    </row>
    <row r="189" spans="1:17" x14ac:dyDescent="0.25">
      <c r="A189" t="s">
        <v>42</v>
      </c>
      <c r="B189" t="s">
        <v>1377</v>
      </c>
      <c r="C189" t="s">
        <v>342</v>
      </c>
      <c r="D189" t="s">
        <v>998</v>
      </c>
      <c r="E189">
        <v>3352</v>
      </c>
      <c r="F189" t="s">
        <v>1103</v>
      </c>
      <c r="G189" t="s">
        <v>1378</v>
      </c>
      <c r="H189" t="s">
        <v>1137</v>
      </c>
      <c r="I189" t="s">
        <v>1166</v>
      </c>
      <c r="J189" t="s">
        <v>987</v>
      </c>
      <c r="K189" t="b">
        <v>1</v>
      </c>
      <c r="L189" t="b">
        <v>0</v>
      </c>
      <c r="M189" t="s">
        <v>987</v>
      </c>
      <c r="N189" t="s">
        <v>1029</v>
      </c>
      <c r="O189" t="s">
        <v>990</v>
      </c>
      <c r="P189" t="s">
        <v>1030</v>
      </c>
      <c r="Q189" t="s">
        <v>1372</v>
      </c>
    </row>
    <row r="190" spans="1:17" x14ac:dyDescent="0.25">
      <c r="A190" t="s">
        <v>42</v>
      </c>
      <c r="B190" t="s">
        <v>1379</v>
      </c>
      <c r="C190" t="s">
        <v>342</v>
      </c>
      <c r="D190" t="s">
        <v>1000</v>
      </c>
      <c r="E190">
        <v>2213</v>
      </c>
      <c r="F190" t="s">
        <v>1103</v>
      </c>
      <c r="G190" t="s">
        <v>1380</v>
      </c>
      <c r="H190" t="s">
        <v>1137</v>
      </c>
      <c r="I190" t="s">
        <v>1028</v>
      </c>
      <c r="J190" t="s">
        <v>987</v>
      </c>
      <c r="K190" t="b">
        <v>1</v>
      </c>
      <c r="L190" t="b">
        <v>0</v>
      </c>
      <c r="M190" t="s">
        <v>987</v>
      </c>
      <c r="N190" t="s">
        <v>1029</v>
      </c>
      <c r="O190" t="s">
        <v>990</v>
      </c>
      <c r="P190" t="s">
        <v>1030</v>
      </c>
      <c r="Q190" t="s">
        <v>1381</v>
      </c>
    </row>
    <row r="191" spans="1:17" x14ac:dyDescent="0.25">
      <c r="A191" t="s">
        <v>42</v>
      </c>
      <c r="B191" t="s">
        <v>1382</v>
      </c>
      <c r="C191" t="s">
        <v>342</v>
      </c>
      <c r="D191" t="s">
        <v>1002</v>
      </c>
      <c r="E191">
        <v>2048</v>
      </c>
      <c r="F191" t="s">
        <v>1103</v>
      </c>
      <c r="G191" t="s">
        <v>1383</v>
      </c>
      <c r="H191" t="s">
        <v>1137</v>
      </c>
      <c r="I191" t="s">
        <v>1045</v>
      </c>
      <c r="J191" t="s">
        <v>987</v>
      </c>
      <c r="K191" t="b">
        <v>1</v>
      </c>
      <c r="L191" t="b">
        <v>0</v>
      </c>
      <c r="M191" t="s">
        <v>987</v>
      </c>
      <c r="N191" t="s">
        <v>1029</v>
      </c>
      <c r="O191" t="s">
        <v>990</v>
      </c>
      <c r="P191" t="s">
        <v>1030</v>
      </c>
      <c r="Q191" t="s">
        <v>1381</v>
      </c>
    </row>
    <row r="192" spans="1:17" x14ac:dyDescent="0.25">
      <c r="A192" t="s">
        <v>42</v>
      </c>
      <c r="B192" t="s">
        <v>1384</v>
      </c>
      <c r="C192" t="s">
        <v>342</v>
      </c>
      <c r="D192" t="s">
        <v>1004</v>
      </c>
      <c r="E192">
        <v>2346</v>
      </c>
      <c r="F192" t="s">
        <v>1103</v>
      </c>
      <c r="G192" t="s">
        <v>1385</v>
      </c>
      <c r="H192" t="s">
        <v>1137</v>
      </c>
      <c r="I192" t="s">
        <v>1048</v>
      </c>
      <c r="J192" t="s">
        <v>987</v>
      </c>
      <c r="K192" t="b">
        <v>1</v>
      </c>
      <c r="L192" t="b">
        <v>0</v>
      </c>
      <c r="M192" t="s">
        <v>987</v>
      </c>
      <c r="N192" t="s">
        <v>1029</v>
      </c>
      <c r="O192" t="s">
        <v>990</v>
      </c>
      <c r="P192" t="s">
        <v>1030</v>
      </c>
      <c r="Q192" t="s">
        <v>1381</v>
      </c>
    </row>
    <row r="193" spans="1:17" x14ac:dyDescent="0.25">
      <c r="A193" t="s">
        <v>42</v>
      </c>
      <c r="B193" t="s">
        <v>1386</v>
      </c>
      <c r="C193" t="s">
        <v>342</v>
      </c>
      <c r="D193" t="s">
        <v>1006</v>
      </c>
      <c r="E193">
        <v>3016</v>
      </c>
      <c r="F193" t="s">
        <v>1103</v>
      </c>
      <c r="G193" t="s">
        <v>1387</v>
      </c>
      <c r="H193" t="s">
        <v>1137</v>
      </c>
      <c r="I193" t="s">
        <v>1388</v>
      </c>
      <c r="J193" t="s">
        <v>987</v>
      </c>
      <c r="K193" t="b">
        <v>1</v>
      </c>
      <c r="L193" t="b">
        <v>0</v>
      </c>
      <c r="M193" t="s">
        <v>987</v>
      </c>
      <c r="N193" t="s">
        <v>1029</v>
      </c>
      <c r="O193" t="s">
        <v>990</v>
      </c>
      <c r="P193" t="s">
        <v>1030</v>
      </c>
      <c r="Q193" t="s">
        <v>1372</v>
      </c>
    </row>
    <row r="194" spans="1:17" x14ac:dyDescent="0.25">
      <c r="A194" t="s">
        <v>42</v>
      </c>
      <c r="B194" t="s">
        <v>1389</v>
      </c>
      <c r="C194" t="s">
        <v>342</v>
      </c>
      <c r="D194" t="s">
        <v>1008</v>
      </c>
      <c r="E194">
        <v>1475</v>
      </c>
      <c r="F194" t="s">
        <v>1103</v>
      </c>
      <c r="G194" t="s">
        <v>1390</v>
      </c>
      <c r="H194" t="s">
        <v>1137</v>
      </c>
      <c r="I194" t="s">
        <v>1054</v>
      </c>
      <c r="J194" t="s">
        <v>987</v>
      </c>
      <c r="K194" t="b">
        <v>1</v>
      </c>
      <c r="L194" t="b">
        <v>0</v>
      </c>
      <c r="M194" t="s">
        <v>987</v>
      </c>
      <c r="N194" t="s">
        <v>1029</v>
      </c>
      <c r="O194" t="s">
        <v>990</v>
      </c>
      <c r="P194" t="s">
        <v>1030</v>
      </c>
      <c r="Q194" t="s">
        <v>1381</v>
      </c>
    </row>
    <row r="195" spans="1:17" x14ac:dyDescent="0.25">
      <c r="A195" t="s">
        <v>42</v>
      </c>
      <c r="B195" t="s">
        <v>1391</v>
      </c>
      <c r="C195" t="s">
        <v>342</v>
      </c>
      <c r="D195" t="s">
        <v>1010</v>
      </c>
      <c r="E195">
        <v>1337</v>
      </c>
      <c r="F195" t="s">
        <v>1103</v>
      </c>
      <c r="G195" t="s">
        <v>1392</v>
      </c>
      <c r="H195" t="s">
        <v>1137</v>
      </c>
      <c r="I195" t="s">
        <v>1057</v>
      </c>
      <c r="J195" t="s">
        <v>987</v>
      </c>
      <c r="K195" t="b">
        <v>1</v>
      </c>
      <c r="L195" t="b">
        <v>0</v>
      </c>
      <c r="M195" t="s">
        <v>987</v>
      </c>
      <c r="N195" t="s">
        <v>1029</v>
      </c>
      <c r="O195" t="s">
        <v>990</v>
      </c>
      <c r="P195" t="s">
        <v>1030</v>
      </c>
      <c r="Q195" t="s">
        <v>1381</v>
      </c>
    </row>
    <row r="196" spans="1:17" x14ac:dyDescent="0.25">
      <c r="A196" t="s">
        <v>42</v>
      </c>
      <c r="B196" t="s">
        <v>1393</v>
      </c>
      <c r="C196" t="s">
        <v>342</v>
      </c>
      <c r="D196" t="s">
        <v>1012</v>
      </c>
      <c r="E196">
        <v>1517</v>
      </c>
      <c r="F196" t="s">
        <v>1103</v>
      </c>
      <c r="G196" t="s">
        <v>1394</v>
      </c>
      <c r="H196" t="s">
        <v>1137</v>
      </c>
      <c r="I196" t="s">
        <v>1060</v>
      </c>
      <c r="J196" t="s">
        <v>987</v>
      </c>
      <c r="K196" t="b">
        <v>1</v>
      </c>
      <c r="L196" t="b">
        <v>0</v>
      </c>
      <c r="M196" t="s">
        <v>987</v>
      </c>
      <c r="N196" t="s">
        <v>1029</v>
      </c>
      <c r="O196" t="s">
        <v>990</v>
      </c>
      <c r="P196" t="s">
        <v>1030</v>
      </c>
      <c r="Q196" t="s">
        <v>1381</v>
      </c>
    </row>
    <row r="197" spans="1:17" x14ac:dyDescent="0.25">
      <c r="A197" t="s">
        <v>42</v>
      </c>
      <c r="B197" t="s">
        <v>1395</v>
      </c>
      <c r="C197" t="s">
        <v>342</v>
      </c>
      <c r="D197" t="s">
        <v>1014</v>
      </c>
      <c r="E197">
        <v>1294</v>
      </c>
      <c r="F197" t="s">
        <v>1103</v>
      </c>
      <c r="G197" t="s">
        <v>1396</v>
      </c>
      <c r="H197" t="s">
        <v>1137</v>
      </c>
      <c r="I197" t="s">
        <v>1154</v>
      </c>
      <c r="J197" t="s">
        <v>987</v>
      </c>
      <c r="K197" t="b">
        <v>1</v>
      </c>
      <c r="L197" t="b">
        <v>0</v>
      </c>
      <c r="M197" t="s">
        <v>987</v>
      </c>
      <c r="N197" t="s">
        <v>1029</v>
      </c>
      <c r="O197" t="s">
        <v>990</v>
      </c>
      <c r="P197" t="s">
        <v>1030</v>
      </c>
      <c r="Q197" t="s">
        <v>1397</v>
      </c>
    </row>
    <row r="198" spans="1:17" x14ac:dyDescent="0.25">
      <c r="A198" t="s">
        <v>42</v>
      </c>
      <c r="B198" t="s">
        <v>1398</v>
      </c>
      <c r="C198" t="s">
        <v>342</v>
      </c>
      <c r="D198" t="s">
        <v>1016</v>
      </c>
      <c r="E198">
        <v>1730</v>
      </c>
      <c r="F198" t="s">
        <v>1103</v>
      </c>
      <c r="G198" t="s">
        <v>1399</v>
      </c>
      <c r="H198" t="s">
        <v>1137</v>
      </c>
      <c r="I198" t="s">
        <v>1066</v>
      </c>
      <c r="J198" t="s">
        <v>987</v>
      </c>
      <c r="K198" t="b">
        <v>1</v>
      </c>
      <c r="L198" t="b">
        <v>0</v>
      </c>
      <c r="M198" t="s">
        <v>987</v>
      </c>
      <c r="N198" t="s">
        <v>1029</v>
      </c>
      <c r="O198" t="s">
        <v>990</v>
      </c>
      <c r="P198" t="s">
        <v>1030</v>
      </c>
      <c r="Q198" t="s">
        <v>1381</v>
      </c>
    </row>
    <row r="199" spans="1:17" x14ac:dyDescent="0.25">
      <c r="A199" t="s">
        <v>42</v>
      </c>
      <c r="B199" t="s">
        <v>1400</v>
      </c>
      <c r="C199" t="s">
        <v>343</v>
      </c>
      <c r="D199" t="s">
        <v>985</v>
      </c>
      <c r="E199">
        <v>4059</v>
      </c>
      <c r="F199" t="s">
        <v>1018</v>
      </c>
      <c r="G199" t="s">
        <v>987</v>
      </c>
      <c r="H199" t="s">
        <v>1137</v>
      </c>
      <c r="I199" t="s">
        <v>987</v>
      </c>
      <c r="J199" t="s">
        <v>987</v>
      </c>
      <c r="K199" t="b">
        <v>0</v>
      </c>
      <c r="L199" t="b">
        <v>1</v>
      </c>
      <c r="M199" t="s">
        <v>1020</v>
      </c>
      <c r="N199" t="s">
        <v>989</v>
      </c>
      <c r="O199" t="s">
        <v>1021</v>
      </c>
      <c r="P199" t="s">
        <v>1022</v>
      </c>
      <c r="Q199" t="s">
        <v>1023</v>
      </c>
    </row>
    <row r="200" spans="1:17" x14ac:dyDescent="0.25">
      <c r="A200" t="s">
        <v>42</v>
      </c>
      <c r="B200" t="s">
        <v>1401</v>
      </c>
      <c r="C200" t="s">
        <v>343</v>
      </c>
      <c r="D200" t="s">
        <v>994</v>
      </c>
      <c r="E200">
        <v>4032</v>
      </c>
      <c r="F200" t="s">
        <v>1018</v>
      </c>
      <c r="G200" t="s">
        <v>987</v>
      </c>
      <c r="H200" t="s">
        <v>1137</v>
      </c>
      <c r="I200" t="s">
        <v>987</v>
      </c>
      <c r="J200" t="s">
        <v>987</v>
      </c>
      <c r="K200" t="b">
        <v>0</v>
      </c>
      <c r="L200" t="b">
        <v>1</v>
      </c>
      <c r="M200" t="s">
        <v>1020</v>
      </c>
      <c r="N200" t="s">
        <v>989</v>
      </c>
      <c r="O200" t="s">
        <v>1021</v>
      </c>
      <c r="P200" t="s">
        <v>1022</v>
      </c>
      <c r="Q200" t="s">
        <v>1023</v>
      </c>
    </row>
    <row r="201" spans="1:17" x14ac:dyDescent="0.25">
      <c r="A201" t="s">
        <v>42</v>
      </c>
      <c r="B201" t="s">
        <v>1402</v>
      </c>
      <c r="C201" t="s">
        <v>343</v>
      </c>
      <c r="D201" t="s">
        <v>996</v>
      </c>
      <c r="E201">
        <v>3863</v>
      </c>
      <c r="F201" t="s">
        <v>1018</v>
      </c>
      <c r="G201" t="s">
        <v>987</v>
      </c>
      <c r="H201" t="s">
        <v>1137</v>
      </c>
      <c r="I201" t="s">
        <v>987</v>
      </c>
      <c r="J201" t="s">
        <v>987</v>
      </c>
      <c r="K201" t="b">
        <v>0</v>
      </c>
      <c r="L201" t="b">
        <v>1</v>
      </c>
      <c r="M201" t="s">
        <v>1020</v>
      </c>
      <c r="N201" t="s">
        <v>989</v>
      </c>
      <c r="O201" t="s">
        <v>1021</v>
      </c>
      <c r="P201" t="s">
        <v>1022</v>
      </c>
      <c r="Q201" t="s">
        <v>1023</v>
      </c>
    </row>
    <row r="202" spans="1:17" x14ac:dyDescent="0.25">
      <c r="A202" t="s">
        <v>42</v>
      </c>
      <c r="B202" t="s">
        <v>1403</v>
      </c>
      <c r="C202" t="s">
        <v>343</v>
      </c>
      <c r="D202" t="s">
        <v>998</v>
      </c>
      <c r="E202">
        <v>4446</v>
      </c>
      <c r="F202" t="s">
        <v>1018</v>
      </c>
      <c r="G202" t="s">
        <v>987</v>
      </c>
      <c r="H202" t="s">
        <v>1137</v>
      </c>
      <c r="I202" t="s">
        <v>987</v>
      </c>
      <c r="J202" t="s">
        <v>987</v>
      </c>
      <c r="K202" t="b">
        <v>0</v>
      </c>
      <c r="L202" t="b">
        <v>1</v>
      </c>
      <c r="M202" t="s">
        <v>1020</v>
      </c>
      <c r="N202" t="s">
        <v>989</v>
      </c>
      <c r="O202" t="s">
        <v>1021</v>
      </c>
      <c r="P202" t="s">
        <v>1022</v>
      </c>
      <c r="Q202" t="s">
        <v>1023</v>
      </c>
    </row>
    <row r="203" spans="1:17" x14ac:dyDescent="0.25">
      <c r="A203" t="s">
        <v>42</v>
      </c>
      <c r="B203" t="s">
        <v>1404</v>
      </c>
      <c r="C203" t="s">
        <v>343</v>
      </c>
      <c r="D203" t="s">
        <v>1000</v>
      </c>
      <c r="E203">
        <v>4519</v>
      </c>
      <c r="F203" t="s">
        <v>1018</v>
      </c>
      <c r="G203" t="s">
        <v>987</v>
      </c>
      <c r="H203" t="s">
        <v>1137</v>
      </c>
      <c r="I203" t="s">
        <v>987</v>
      </c>
      <c r="J203" t="s">
        <v>987</v>
      </c>
      <c r="K203" t="b">
        <v>0</v>
      </c>
      <c r="L203" t="b">
        <v>1</v>
      </c>
      <c r="M203" t="s">
        <v>1020</v>
      </c>
      <c r="N203" t="s">
        <v>989</v>
      </c>
      <c r="O203" t="s">
        <v>1021</v>
      </c>
      <c r="P203" t="s">
        <v>1022</v>
      </c>
      <c r="Q203" t="s">
        <v>1023</v>
      </c>
    </row>
    <row r="204" spans="1:17" x14ac:dyDescent="0.25">
      <c r="A204" t="s">
        <v>42</v>
      </c>
      <c r="B204" t="s">
        <v>1405</v>
      </c>
      <c r="C204" t="s">
        <v>343</v>
      </c>
      <c r="D204" t="s">
        <v>1002</v>
      </c>
      <c r="E204">
        <v>4610</v>
      </c>
      <c r="F204" t="s">
        <v>1018</v>
      </c>
      <c r="G204" t="s">
        <v>987</v>
      </c>
      <c r="H204" t="s">
        <v>1137</v>
      </c>
      <c r="I204" t="s">
        <v>987</v>
      </c>
      <c r="J204" t="s">
        <v>987</v>
      </c>
      <c r="K204" t="b">
        <v>0</v>
      </c>
      <c r="L204" t="b">
        <v>1</v>
      </c>
      <c r="M204" t="s">
        <v>1020</v>
      </c>
      <c r="N204" t="s">
        <v>989</v>
      </c>
      <c r="O204" t="s">
        <v>1021</v>
      </c>
      <c r="P204" t="s">
        <v>1022</v>
      </c>
      <c r="Q204" t="s">
        <v>1023</v>
      </c>
    </row>
    <row r="205" spans="1:17" x14ac:dyDescent="0.25">
      <c r="A205" t="s">
        <v>42</v>
      </c>
      <c r="B205" t="s">
        <v>1406</v>
      </c>
      <c r="C205" t="s">
        <v>343</v>
      </c>
      <c r="D205" t="s">
        <v>1004</v>
      </c>
      <c r="E205">
        <v>4888</v>
      </c>
      <c r="F205" t="s">
        <v>1018</v>
      </c>
      <c r="G205" t="s">
        <v>987</v>
      </c>
      <c r="H205" t="s">
        <v>1137</v>
      </c>
      <c r="I205" t="s">
        <v>987</v>
      </c>
      <c r="J205" t="s">
        <v>987</v>
      </c>
      <c r="K205" t="b">
        <v>0</v>
      </c>
      <c r="L205" t="b">
        <v>1</v>
      </c>
      <c r="M205" t="s">
        <v>1020</v>
      </c>
      <c r="N205" t="s">
        <v>989</v>
      </c>
      <c r="O205" t="s">
        <v>1021</v>
      </c>
      <c r="P205" t="s">
        <v>1022</v>
      </c>
      <c r="Q205" t="s">
        <v>1023</v>
      </c>
    </row>
    <row r="206" spans="1:17" x14ac:dyDescent="0.25">
      <c r="A206" t="s">
        <v>42</v>
      </c>
      <c r="B206" t="s">
        <v>1407</v>
      </c>
      <c r="C206" t="s">
        <v>343</v>
      </c>
      <c r="D206" t="s">
        <v>1006</v>
      </c>
      <c r="E206">
        <v>6242</v>
      </c>
      <c r="F206" t="s">
        <v>1018</v>
      </c>
      <c r="G206" t="s">
        <v>987</v>
      </c>
      <c r="H206" t="s">
        <v>1137</v>
      </c>
      <c r="I206" t="s">
        <v>987</v>
      </c>
      <c r="J206" t="s">
        <v>987</v>
      </c>
      <c r="K206" t="b">
        <v>0</v>
      </c>
      <c r="L206" t="b">
        <v>1</v>
      </c>
      <c r="M206" t="s">
        <v>1020</v>
      </c>
      <c r="N206" t="s">
        <v>989</v>
      </c>
      <c r="O206" t="s">
        <v>1021</v>
      </c>
      <c r="P206" t="s">
        <v>1022</v>
      </c>
      <c r="Q206" t="s">
        <v>1023</v>
      </c>
    </row>
    <row r="207" spans="1:17" x14ac:dyDescent="0.25">
      <c r="A207" t="s">
        <v>42</v>
      </c>
      <c r="B207" t="s">
        <v>1408</v>
      </c>
      <c r="C207" t="s">
        <v>343</v>
      </c>
      <c r="D207" t="s">
        <v>1008</v>
      </c>
      <c r="E207">
        <v>4524</v>
      </c>
      <c r="F207" t="s">
        <v>1103</v>
      </c>
      <c r="G207" t="s">
        <v>1409</v>
      </c>
      <c r="H207" t="s">
        <v>1137</v>
      </c>
      <c r="I207" t="s">
        <v>1054</v>
      </c>
      <c r="J207" t="s">
        <v>987</v>
      </c>
      <c r="K207" t="b">
        <v>1</v>
      </c>
      <c r="L207" t="b">
        <v>0</v>
      </c>
      <c r="M207" t="s">
        <v>987</v>
      </c>
      <c r="N207" t="s">
        <v>1029</v>
      </c>
      <c r="O207" t="s">
        <v>990</v>
      </c>
      <c r="P207" t="s">
        <v>1030</v>
      </c>
      <c r="Q207" t="s">
        <v>1410</v>
      </c>
    </row>
    <row r="208" spans="1:17" x14ac:dyDescent="0.25">
      <c r="A208" t="s">
        <v>42</v>
      </c>
      <c r="B208" t="s">
        <v>1411</v>
      </c>
      <c r="C208" t="s">
        <v>343</v>
      </c>
      <c r="D208" t="s">
        <v>1010</v>
      </c>
      <c r="E208">
        <v>4311</v>
      </c>
      <c r="F208" t="s">
        <v>1103</v>
      </c>
      <c r="G208" t="s">
        <v>1412</v>
      </c>
      <c r="H208" t="s">
        <v>1137</v>
      </c>
      <c r="I208" t="s">
        <v>1057</v>
      </c>
      <c r="J208" t="s">
        <v>987</v>
      </c>
      <c r="K208" t="b">
        <v>1</v>
      </c>
      <c r="L208" t="b">
        <v>0</v>
      </c>
      <c r="M208" t="s">
        <v>987</v>
      </c>
      <c r="N208" t="s">
        <v>1029</v>
      </c>
      <c r="O208" t="s">
        <v>990</v>
      </c>
      <c r="P208" t="s">
        <v>1030</v>
      </c>
      <c r="Q208" t="s">
        <v>1410</v>
      </c>
    </row>
    <row r="209" spans="1:17" x14ac:dyDescent="0.25">
      <c r="A209" t="s">
        <v>42</v>
      </c>
      <c r="B209" t="s">
        <v>1413</v>
      </c>
      <c r="C209" t="s">
        <v>343</v>
      </c>
      <c r="D209" t="s">
        <v>1012</v>
      </c>
      <c r="E209">
        <v>4660</v>
      </c>
      <c r="F209" t="s">
        <v>1103</v>
      </c>
      <c r="G209" t="s">
        <v>1414</v>
      </c>
      <c r="H209" t="s">
        <v>1137</v>
      </c>
      <c r="I209" t="s">
        <v>1060</v>
      </c>
      <c r="J209" t="s">
        <v>987</v>
      </c>
      <c r="K209" t="b">
        <v>1</v>
      </c>
      <c r="L209" t="b">
        <v>0</v>
      </c>
      <c r="M209" t="s">
        <v>987</v>
      </c>
      <c r="N209" t="s">
        <v>1029</v>
      </c>
      <c r="O209" t="s">
        <v>990</v>
      </c>
      <c r="P209" t="s">
        <v>1030</v>
      </c>
      <c r="Q209" t="s">
        <v>1410</v>
      </c>
    </row>
    <row r="210" spans="1:17" x14ac:dyDescent="0.25">
      <c r="A210" t="s">
        <v>42</v>
      </c>
      <c r="B210" t="s">
        <v>1415</v>
      </c>
      <c r="C210" t="s">
        <v>343</v>
      </c>
      <c r="D210" t="s">
        <v>1014</v>
      </c>
      <c r="E210">
        <v>4366</v>
      </c>
      <c r="F210" t="s">
        <v>1103</v>
      </c>
      <c r="G210" t="s">
        <v>1416</v>
      </c>
      <c r="H210" t="s">
        <v>1137</v>
      </c>
      <c r="I210" t="s">
        <v>1154</v>
      </c>
      <c r="J210" t="s">
        <v>987</v>
      </c>
      <c r="K210" t="b">
        <v>1</v>
      </c>
      <c r="L210" t="b">
        <v>0</v>
      </c>
      <c r="M210" t="s">
        <v>987</v>
      </c>
      <c r="N210" t="s">
        <v>1029</v>
      </c>
      <c r="O210" t="s">
        <v>990</v>
      </c>
      <c r="P210" t="s">
        <v>1030</v>
      </c>
      <c r="Q210" t="s">
        <v>1417</v>
      </c>
    </row>
    <row r="211" spans="1:17" x14ac:dyDescent="0.25">
      <c r="A211" t="s">
        <v>42</v>
      </c>
      <c r="B211" t="s">
        <v>1418</v>
      </c>
      <c r="C211" t="s">
        <v>343</v>
      </c>
      <c r="D211" t="s">
        <v>1016</v>
      </c>
      <c r="E211">
        <v>6278</v>
      </c>
      <c r="F211" t="s">
        <v>1018</v>
      </c>
      <c r="G211" t="s">
        <v>987</v>
      </c>
      <c r="H211" t="s">
        <v>1137</v>
      </c>
      <c r="I211" t="s">
        <v>987</v>
      </c>
      <c r="J211" t="s">
        <v>987</v>
      </c>
      <c r="K211" t="b">
        <v>0</v>
      </c>
      <c r="L211" t="b">
        <v>1</v>
      </c>
      <c r="M211" t="s">
        <v>1020</v>
      </c>
      <c r="N211" t="s">
        <v>989</v>
      </c>
      <c r="O211" t="s">
        <v>1021</v>
      </c>
      <c r="P211" t="s">
        <v>1022</v>
      </c>
      <c r="Q211" t="s">
        <v>1023</v>
      </c>
    </row>
    <row r="212" spans="1:17" x14ac:dyDescent="0.25">
      <c r="A212" t="s">
        <v>42</v>
      </c>
      <c r="B212" t="s">
        <v>1419</v>
      </c>
      <c r="C212" t="s">
        <v>343</v>
      </c>
      <c r="D212" t="s">
        <v>1115</v>
      </c>
      <c r="E212">
        <v>6978</v>
      </c>
      <c r="F212" t="s">
        <v>1018</v>
      </c>
      <c r="G212" t="s">
        <v>987</v>
      </c>
      <c r="H212" t="s">
        <v>1137</v>
      </c>
      <c r="I212" t="s">
        <v>987</v>
      </c>
      <c r="J212" t="s">
        <v>987</v>
      </c>
      <c r="K212" t="b">
        <v>0</v>
      </c>
      <c r="L212" t="b">
        <v>1</v>
      </c>
      <c r="M212" t="s">
        <v>1020</v>
      </c>
      <c r="N212" t="s">
        <v>989</v>
      </c>
      <c r="O212" t="s">
        <v>1021</v>
      </c>
      <c r="P212" t="s">
        <v>1022</v>
      </c>
      <c r="Q212" t="s">
        <v>1023</v>
      </c>
    </row>
    <row r="213" spans="1:17" x14ac:dyDescent="0.25">
      <c r="A213" t="s">
        <v>42</v>
      </c>
      <c r="B213" t="s">
        <v>1420</v>
      </c>
      <c r="C213" t="s">
        <v>346</v>
      </c>
      <c r="D213" t="s">
        <v>985</v>
      </c>
      <c r="E213">
        <v>15844</v>
      </c>
      <c r="F213" t="s">
        <v>1018</v>
      </c>
      <c r="G213" t="s">
        <v>987</v>
      </c>
      <c r="H213" t="s">
        <v>1137</v>
      </c>
      <c r="I213" t="s">
        <v>987</v>
      </c>
      <c r="J213" t="s">
        <v>987</v>
      </c>
      <c r="K213" t="b">
        <v>0</v>
      </c>
      <c r="L213" t="b">
        <v>1</v>
      </c>
      <c r="M213" t="s">
        <v>1020</v>
      </c>
      <c r="N213" t="s">
        <v>989</v>
      </c>
      <c r="O213" t="s">
        <v>1021</v>
      </c>
      <c r="P213" t="s">
        <v>1022</v>
      </c>
      <c r="Q213" t="s">
        <v>1023</v>
      </c>
    </row>
    <row r="214" spans="1:17" x14ac:dyDescent="0.25">
      <c r="A214" t="s">
        <v>42</v>
      </c>
      <c r="B214" t="s">
        <v>1421</v>
      </c>
      <c r="C214" t="s">
        <v>346</v>
      </c>
      <c r="D214" t="s">
        <v>994</v>
      </c>
      <c r="E214">
        <v>15831</v>
      </c>
      <c r="F214" t="s">
        <v>1018</v>
      </c>
      <c r="G214" t="s">
        <v>987</v>
      </c>
      <c r="H214" t="s">
        <v>1137</v>
      </c>
      <c r="I214" t="s">
        <v>987</v>
      </c>
      <c r="J214" t="s">
        <v>987</v>
      </c>
      <c r="K214" t="b">
        <v>0</v>
      </c>
      <c r="L214" t="b">
        <v>1</v>
      </c>
      <c r="M214" t="s">
        <v>1020</v>
      </c>
      <c r="N214" t="s">
        <v>989</v>
      </c>
      <c r="O214" t="s">
        <v>1021</v>
      </c>
      <c r="P214" t="s">
        <v>1022</v>
      </c>
      <c r="Q214" t="s">
        <v>1023</v>
      </c>
    </row>
    <row r="215" spans="1:17" x14ac:dyDescent="0.25">
      <c r="A215" t="s">
        <v>42</v>
      </c>
      <c r="B215" t="s">
        <v>1422</v>
      </c>
      <c r="C215" t="s">
        <v>346</v>
      </c>
      <c r="D215" t="s">
        <v>996</v>
      </c>
      <c r="E215">
        <v>15577</v>
      </c>
      <c r="F215" t="s">
        <v>1018</v>
      </c>
      <c r="G215" t="s">
        <v>987</v>
      </c>
      <c r="H215" t="s">
        <v>1137</v>
      </c>
      <c r="I215" t="s">
        <v>987</v>
      </c>
      <c r="J215" t="s">
        <v>987</v>
      </c>
      <c r="K215" t="b">
        <v>0</v>
      </c>
      <c r="L215" t="b">
        <v>1</v>
      </c>
      <c r="M215" t="s">
        <v>1020</v>
      </c>
      <c r="N215" t="s">
        <v>989</v>
      </c>
      <c r="O215" t="s">
        <v>1021</v>
      </c>
      <c r="P215" t="s">
        <v>1022</v>
      </c>
      <c r="Q215" t="s">
        <v>1023</v>
      </c>
    </row>
    <row r="216" spans="1:17" x14ac:dyDescent="0.25">
      <c r="A216" t="s">
        <v>42</v>
      </c>
      <c r="B216" t="s">
        <v>1423</v>
      </c>
      <c r="C216" t="s">
        <v>346</v>
      </c>
      <c r="D216" t="s">
        <v>998</v>
      </c>
      <c r="E216">
        <v>15501</v>
      </c>
      <c r="F216" t="s">
        <v>1018</v>
      </c>
      <c r="G216" t="s">
        <v>987</v>
      </c>
      <c r="H216" t="s">
        <v>1137</v>
      </c>
      <c r="I216" t="s">
        <v>987</v>
      </c>
      <c r="J216" t="s">
        <v>987</v>
      </c>
      <c r="K216" t="b">
        <v>0</v>
      </c>
      <c r="L216" t="b">
        <v>1</v>
      </c>
      <c r="M216" t="s">
        <v>1020</v>
      </c>
      <c r="N216" t="s">
        <v>989</v>
      </c>
      <c r="O216" t="s">
        <v>1021</v>
      </c>
      <c r="P216" t="s">
        <v>1022</v>
      </c>
      <c r="Q216" t="s">
        <v>1023</v>
      </c>
    </row>
    <row r="217" spans="1:17" x14ac:dyDescent="0.25">
      <c r="A217" t="s">
        <v>42</v>
      </c>
      <c r="B217" t="s">
        <v>1424</v>
      </c>
      <c r="C217" t="s">
        <v>346</v>
      </c>
      <c r="D217" t="s">
        <v>1000</v>
      </c>
      <c r="E217">
        <v>17550</v>
      </c>
      <c r="F217" t="s">
        <v>1018</v>
      </c>
      <c r="G217" t="s">
        <v>987</v>
      </c>
      <c r="H217" t="s">
        <v>1137</v>
      </c>
      <c r="I217" t="s">
        <v>987</v>
      </c>
      <c r="J217" t="s">
        <v>987</v>
      </c>
      <c r="K217" t="b">
        <v>0</v>
      </c>
      <c r="L217" t="b">
        <v>1</v>
      </c>
      <c r="M217" t="s">
        <v>1020</v>
      </c>
      <c r="N217" t="s">
        <v>989</v>
      </c>
      <c r="O217" t="s">
        <v>1021</v>
      </c>
      <c r="P217" t="s">
        <v>1022</v>
      </c>
      <c r="Q217" t="s">
        <v>1023</v>
      </c>
    </row>
    <row r="218" spans="1:17" x14ac:dyDescent="0.25">
      <c r="A218" t="s">
        <v>42</v>
      </c>
      <c r="B218" t="s">
        <v>1425</v>
      </c>
      <c r="C218" t="s">
        <v>346</v>
      </c>
      <c r="D218" t="s">
        <v>1002</v>
      </c>
      <c r="E218">
        <v>17547</v>
      </c>
      <c r="F218" t="s">
        <v>1018</v>
      </c>
      <c r="G218" t="s">
        <v>987</v>
      </c>
      <c r="H218" t="s">
        <v>1137</v>
      </c>
      <c r="I218" t="s">
        <v>987</v>
      </c>
      <c r="J218" t="s">
        <v>987</v>
      </c>
      <c r="K218" t="b">
        <v>0</v>
      </c>
      <c r="L218" t="b">
        <v>1</v>
      </c>
      <c r="M218" t="s">
        <v>1020</v>
      </c>
      <c r="N218" t="s">
        <v>989</v>
      </c>
      <c r="O218" t="s">
        <v>1021</v>
      </c>
      <c r="P218" t="s">
        <v>1022</v>
      </c>
      <c r="Q218" t="s">
        <v>1023</v>
      </c>
    </row>
    <row r="219" spans="1:17" x14ac:dyDescent="0.25">
      <c r="A219" t="s">
        <v>42</v>
      </c>
      <c r="B219" t="s">
        <v>1426</v>
      </c>
      <c r="C219" t="s">
        <v>346</v>
      </c>
      <c r="D219" t="s">
        <v>1004</v>
      </c>
      <c r="E219">
        <v>17209</v>
      </c>
      <c r="F219" t="s">
        <v>1018</v>
      </c>
      <c r="G219" t="s">
        <v>987</v>
      </c>
      <c r="H219" t="s">
        <v>1137</v>
      </c>
      <c r="I219" t="s">
        <v>987</v>
      </c>
      <c r="J219" t="s">
        <v>987</v>
      </c>
      <c r="K219" t="b">
        <v>0</v>
      </c>
      <c r="L219" t="b">
        <v>1</v>
      </c>
      <c r="M219" t="s">
        <v>1020</v>
      </c>
      <c r="N219" t="s">
        <v>989</v>
      </c>
      <c r="O219" t="s">
        <v>1021</v>
      </c>
      <c r="P219" t="s">
        <v>1022</v>
      </c>
      <c r="Q219" t="s">
        <v>1023</v>
      </c>
    </row>
    <row r="220" spans="1:17" x14ac:dyDescent="0.25">
      <c r="A220" t="s">
        <v>42</v>
      </c>
      <c r="B220" t="s">
        <v>1427</v>
      </c>
      <c r="C220" t="s">
        <v>346</v>
      </c>
      <c r="D220" t="s">
        <v>1006</v>
      </c>
      <c r="E220">
        <v>17365</v>
      </c>
      <c r="F220" t="s">
        <v>1018</v>
      </c>
      <c r="G220" t="s">
        <v>987</v>
      </c>
      <c r="H220" t="s">
        <v>1137</v>
      </c>
      <c r="I220" t="s">
        <v>987</v>
      </c>
      <c r="J220" t="s">
        <v>987</v>
      </c>
      <c r="K220" t="b">
        <v>0</v>
      </c>
      <c r="L220" t="b">
        <v>1</v>
      </c>
      <c r="M220" t="s">
        <v>1020</v>
      </c>
      <c r="N220" t="s">
        <v>989</v>
      </c>
      <c r="O220" t="s">
        <v>1021</v>
      </c>
      <c r="P220" t="s">
        <v>1022</v>
      </c>
      <c r="Q220" t="s">
        <v>1023</v>
      </c>
    </row>
    <row r="221" spans="1:17" x14ac:dyDescent="0.25">
      <c r="A221" t="s">
        <v>42</v>
      </c>
      <c r="B221" t="s">
        <v>1428</v>
      </c>
      <c r="C221" t="s">
        <v>346</v>
      </c>
      <c r="D221" t="s">
        <v>1016</v>
      </c>
      <c r="E221">
        <v>23244</v>
      </c>
      <c r="F221" t="s">
        <v>1018</v>
      </c>
      <c r="G221" t="s">
        <v>987</v>
      </c>
      <c r="H221" t="s">
        <v>1137</v>
      </c>
      <c r="I221" t="s">
        <v>987</v>
      </c>
      <c r="J221" t="s">
        <v>987</v>
      </c>
      <c r="K221" t="b">
        <v>0</v>
      </c>
      <c r="L221" t="b">
        <v>1</v>
      </c>
      <c r="M221" t="s">
        <v>1020</v>
      </c>
      <c r="N221" t="s">
        <v>989</v>
      </c>
      <c r="O221" t="s">
        <v>1021</v>
      </c>
      <c r="P221" t="s">
        <v>1022</v>
      </c>
      <c r="Q221" t="s">
        <v>1023</v>
      </c>
    </row>
    <row r="222" spans="1:17" x14ac:dyDescent="0.25">
      <c r="A222" t="s">
        <v>42</v>
      </c>
      <c r="B222" t="s">
        <v>1429</v>
      </c>
      <c r="C222" t="s">
        <v>346</v>
      </c>
      <c r="D222" t="s">
        <v>1115</v>
      </c>
      <c r="E222">
        <v>23311</v>
      </c>
      <c r="F222" t="s">
        <v>1018</v>
      </c>
      <c r="G222" t="s">
        <v>987</v>
      </c>
      <c r="H222" t="s">
        <v>1137</v>
      </c>
      <c r="I222" t="s">
        <v>987</v>
      </c>
      <c r="J222" t="s">
        <v>987</v>
      </c>
      <c r="K222" t="b">
        <v>0</v>
      </c>
      <c r="L222" t="b">
        <v>1</v>
      </c>
      <c r="M222" t="s">
        <v>1020</v>
      </c>
      <c r="N222" t="s">
        <v>989</v>
      </c>
      <c r="O222" t="s">
        <v>1021</v>
      </c>
      <c r="P222" t="s">
        <v>1022</v>
      </c>
      <c r="Q222" t="s">
        <v>1023</v>
      </c>
    </row>
    <row r="223" spans="1:17" x14ac:dyDescent="0.25">
      <c r="A223" t="s">
        <v>42</v>
      </c>
      <c r="B223" t="s">
        <v>1430</v>
      </c>
      <c r="C223" t="s">
        <v>348</v>
      </c>
      <c r="D223" t="s">
        <v>985</v>
      </c>
      <c r="E223">
        <v>1770</v>
      </c>
      <c r="F223" t="s">
        <v>1018</v>
      </c>
      <c r="G223" t="s">
        <v>987</v>
      </c>
      <c r="H223" t="s">
        <v>1137</v>
      </c>
      <c r="I223" t="s">
        <v>987</v>
      </c>
      <c r="J223" t="s">
        <v>987</v>
      </c>
      <c r="K223" t="b">
        <v>0</v>
      </c>
      <c r="L223" t="b">
        <v>1</v>
      </c>
      <c r="M223" t="s">
        <v>1020</v>
      </c>
      <c r="N223" t="s">
        <v>989</v>
      </c>
      <c r="O223" t="s">
        <v>1021</v>
      </c>
      <c r="P223" t="s">
        <v>1022</v>
      </c>
      <c r="Q223" t="s">
        <v>1023</v>
      </c>
    </row>
    <row r="224" spans="1:17" x14ac:dyDescent="0.25">
      <c r="A224" t="s">
        <v>42</v>
      </c>
      <c r="B224" t="s">
        <v>1431</v>
      </c>
      <c r="C224" t="s">
        <v>348</v>
      </c>
      <c r="D224" t="s">
        <v>994</v>
      </c>
      <c r="E224">
        <v>1806</v>
      </c>
      <c r="F224" t="s">
        <v>1018</v>
      </c>
      <c r="G224" t="s">
        <v>987</v>
      </c>
      <c r="H224" t="s">
        <v>1137</v>
      </c>
      <c r="I224" t="s">
        <v>987</v>
      </c>
      <c r="J224" t="s">
        <v>987</v>
      </c>
      <c r="K224" t="b">
        <v>0</v>
      </c>
      <c r="L224" t="b">
        <v>1</v>
      </c>
      <c r="M224" t="s">
        <v>1020</v>
      </c>
      <c r="N224" t="s">
        <v>989</v>
      </c>
      <c r="O224" t="s">
        <v>1021</v>
      </c>
      <c r="P224" t="s">
        <v>1022</v>
      </c>
      <c r="Q224" t="s">
        <v>1023</v>
      </c>
    </row>
    <row r="225" spans="1:17" x14ac:dyDescent="0.25">
      <c r="A225" t="s">
        <v>42</v>
      </c>
      <c r="B225" t="s">
        <v>1432</v>
      </c>
      <c r="C225" t="s">
        <v>348</v>
      </c>
      <c r="D225" t="s">
        <v>996</v>
      </c>
      <c r="E225">
        <v>1790</v>
      </c>
      <c r="F225" t="s">
        <v>1018</v>
      </c>
      <c r="G225" t="s">
        <v>987</v>
      </c>
      <c r="H225" t="s">
        <v>1137</v>
      </c>
      <c r="I225" t="s">
        <v>987</v>
      </c>
      <c r="J225" t="s">
        <v>987</v>
      </c>
      <c r="K225" t="b">
        <v>0</v>
      </c>
      <c r="L225" t="b">
        <v>1</v>
      </c>
      <c r="M225" t="s">
        <v>1020</v>
      </c>
      <c r="N225" t="s">
        <v>989</v>
      </c>
      <c r="O225" t="s">
        <v>1021</v>
      </c>
      <c r="P225" t="s">
        <v>1022</v>
      </c>
      <c r="Q225" t="s">
        <v>1023</v>
      </c>
    </row>
    <row r="226" spans="1:17" x14ac:dyDescent="0.25">
      <c r="A226" t="s">
        <v>42</v>
      </c>
      <c r="B226" t="s">
        <v>1433</v>
      </c>
      <c r="C226" t="s">
        <v>348</v>
      </c>
      <c r="D226" t="s">
        <v>998</v>
      </c>
      <c r="E226">
        <v>1976</v>
      </c>
      <c r="F226" t="s">
        <v>1018</v>
      </c>
      <c r="G226" t="s">
        <v>987</v>
      </c>
      <c r="H226" t="s">
        <v>1137</v>
      </c>
      <c r="I226" t="s">
        <v>987</v>
      </c>
      <c r="J226" t="s">
        <v>987</v>
      </c>
      <c r="K226" t="b">
        <v>0</v>
      </c>
      <c r="L226" t="b">
        <v>1</v>
      </c>
      <c r="M226" t="s">
        <v>1020</v>
      </c>
      <c r="N226" t="s">
        <v>989</v>
      </c>
      <c r="O226" t="s">
        <v>1021</v>
      </c>
      <c r="P226" t="s">
        <v>1022</v>
      </c>
      <c r="Q226" t="s">
        <v>1023</v>
      </c>
    </row>
    <row r="227" spans="1:17" x14ac:dyDescent="0.25">
      <c r="A227" t="s">
        <v>42</v>
      </c>
      <c r="B227" t="s">
        <v>1434</v>
      </c>
      <c r="C227" t="s">
        <v>348</v>
      </c>
      <c r="D227" t="s">
        <v>1000</v>
      </c>
      <c r="E227">
        <v>5660</v>
      </c>
      <c r="F227" t="s">
        <v>1018</v>
      </c>
      <c r="G227" t="s">
        <v>987</v>
      </c>
      <c r="H227" t="s">
        <v>1137</v>
      </c>
      <c r="I227" t="s">
        <v>987</v>
      </c>
      <c r="J227" t="s">
        <v>987</v>
      </c>
      <c r="K227" t="b">
        <v>0</v>
      </c>
      <c r="L227" t="b">
        <v>1</v>
      </c>
      <c r="M227" t="s">
        <v>1020</v>
      </c>
      <c r="N227" t="s">
        <v>989</v>
      </c>
      <c r="O227" t="s">
        <v>1021</v>
      </c>
      <c r="P227" t="s">
        <v>1022</v>
      </c>
      <c r="Q227" t="s">
        <v>1023</v>
      </c>
    </row>
    <row r="228" spans="1:17" x14ac:dyDescent="0.25">
      <c r="A228" t="s">
        <v>42</v>
      </c>
      <c r="B228" t="s">
        <v>1435</v>
      </c>
      <c r="C228" t="s">
        <v>348</v>
      </c>
      <c r="D228" t="s">
        <v>1002</v>
      </c>
      <c r="E228">
        <v>5682</v>
      </c>
      <c r="F228" t="s">
        <v>1018</v>
      </c>
      <c r="G228" t="s">
        <v>987</v>
      </c>
      <c r="H228" t="s">
        <v>1137</v>
      </c>
      <c r="I228" t="s">
        <v>987</v>
      </c>
      <c r="J228" t="s">
        <v>987</v>
      </c>
      <c r="K228" t="b">
        <v>0</v>
      </c>
      <c r="L228" t="b">
        <v>1</v>
      </c>
      <c r="M228" t="s">
        <v>1020</v>
      </c>
      <c r="N228" t="s">
        <v>989</v>
      </c>
      <c r="O228" t="s">
        <v>1021</v>
      </c>
      <c r="P228" t="s">
        <v>1022</v>
      </c>
      <c r="Q228" t="s">
        <v>1023</v>
      </c>
    </row>
    <row r="229" spans="1:17" x14ac:dyDescent="0.25">
      <c r="A229" t="s">
        <v>42</v>
      </c>
      <c r="B229" t="s">
        <v>1436</v>
      </c>
      <c r="C229" t="s">
        <v>348</v>
      </c>
      <c r="D229" t="s">
        <v>1004</v>
      </c>
      <c r="E229">
        <v>5608</v>
      </c>
      <c r="F229" t="s">
        <v>1018</v>
      </c>
      <c r="G229" t="s">
        <v>987</v>
      </c>
      <c r="H229" t="s">
        <v>1137</v>
      </c>
      <c r="I229" t="s">
        <v>987</v>
      </c>
      <c r="J229" t="s">
        <v>987</v>
      </c>
      <c r="K229" t="b">
        <v>0</v>
      </c>
      <c r="L229" t="b">
        <v>1</v>
      </c>
      <c r="M229" t="s">
        <v>1020</v>
      </c>
      <c r="N229" t="s">
        <v>989</v>
      </c>
      <c r="O229" t="s">
        <v>1021</v>
      </c>
      <c r="P229" t="s">
        <v>1022</v>
      </c>
      <c r="Q229" t="s">
        <v>1023</v>
      </c>
    </row>
    <row r="230" spans="1:17" x14ac:dyDescent="0.25">
      <c r="A230" t="s">
        <v>42</v>
      </c>
      <c r="B230" t="s">
        <v>1437</v>
      </c>
      <c r="C230" t="s">
        <v>348</v>
      </c>
      <c r="D230" t="s">
        <v>1006</v>
      </c>
      <c r="E230">
        <v>5549</v>
      </c>
      <c r="F230" t="s">
        <v>1018</v>
      </c>
      <c r="G230" t="s">
        <v>987</v>
      </c>
      <c r="H230" t="s">
        <v>1137</v>
      </c>
      <c r="I230" t="s">
        <v>987</v>
      </c>
      <c r="J230" t="s">
        <v>987</v>
      </c>
      <c r="K230" t="b">
        <v>0</v>
      </c>
      <c r="L230" t="b">
        <v>1</v>
      </c>
      <c r="M230" t="s">
        <v>1020</v>
      </c>
      <c r="N230" t="s">
        <v>989</v>
      </c>
      <c r="O230" t="s">
        <v>1021</v>
      </c>
      <c r="P230" t="s">
        <v>1022</v>
      </c>
      <c r="Q230" t="s">
        <v>1023</v>
      </c>
    </row>
    <row r="231" spans="1:17" x14ac:dyDescent="0.25">
      <c r="A231" t="s">
        <v>42</v>
      </c>
      <c r="B231" t="s">
        <v>1438</v>
      </c>
      <c r="C231" t="s">
        <v>348</v>
      </c>
      <c r="D231" t="s">
        <v>1008</v>
      </c>
      <c r="E231">
        <v>1651</v>
      </c>
      <c r="F231" t="s">
        <v>1103</v>
      </c>
      <c r="G231" t="s">
        <v>1439</v>
      </c>
      <c r="H231" t="s">
        <v>1137</v>
      </c>
      <c r="I231" t="s">
        <v>1054</v>
      </c>
      <c r="J231" t="s">
        <v>987</v>
      </c>
      <c r="K231" t="b">
        <v>1</v>
      </c>
      <c r="L231" t="b">
        <v>0</v>
      </c>
      <c r="M231" t="s">
        <v>987</v>
      </c>
      <c r="N231" t="s">
        <v>1029</v>
      </c>
      <c r="O231" t="s">
        <v>990</v>
      </c>
      <c r="P231" t="s">
        <v>1030</v>
      </c>
      <c r="Q231" t="s">
        <v>1440</v>
      </c>
    </row>
    <row r="232" spans="1:17" x14ac:dyDescent="0.25">
      <c r="A232" t="s">
        <v>42</v>
      </c>
      <c r="B232" t="s">
        <v>1441</v>
      </c>
      <c r="C232" t="s">
        <v>348</v>
      </c>
      <c r="D232" t="s">
        <v>1010</v>
      </c>
      <c r="E232">
        <v>1635</v>
      </c>
      <c r="F232" t="s">
        <v>1103</v>
      </c>
      <c r="G232" t="s">
        <v>1442</v>
      </c>
      <c r="H232" t="s">
        <v>1137</v>
      </c>
      <c r="I232" t="s">
        <v>1057</v>
      </c>
      <c r="J232" t="s">
        <v>987</v>
      </c>
      <c r="K232" t="b">
        <v>1</v>
      </c>
      <c r="L232" t="b">
        <v>0</v>
      </c>
      <c r="M232" t="s">
        <v>987</v>
      </c>
      <c r="N232" t="s">
        <v>1029</v>
      </c>
      <c r="O232" t="s">
        <v>990</v>
      </c>
      <c r="P232" t="s">
        <v>1030</v>
      </c>
      <c r="Q232" t="s">
        <v>1440</v>
      </c>
    </row>
    <row r="233" spans="1:17" x14ac:dyDescent="0.25">
      <c r="A233" t="s">
        <v>42</v>
      </c>
      <c r="B233" t="s">
        <v>1443</v>
      </c>
      <c r="C233" t="s">
        <v>348</v>
      </c>
      <c r="D233" t="s">
        <v>1012</v>
      </c>
      <c r="E233">
        <v>1600</v>
      </c>
      <c r="F233" t="s">
        <v>1103</v>
      </c>
      <c r="G233" t="s">
        <v>1444</v>
      </c>
      <c r="H233" t="s">
        <v>1137</v>
      </c>
      <c r="I233" t="s">
        <v>1060</v>
      </c>
      <c r="J233" t="s">
        <v>987</v>
      </c>
      <c r="K233" t="b">
        <v>1</v>
      </c>
      <c r="L233" t="b">
        <v>0</v>
      </c>
      <c r="M233" t="s">
        <v>987</v>
      </c>
      <c r="N233" t="s">
        <v>1029</v>
      </c>
      <c r="O233" t="s">
        <v>990</v>
      </c>
      <c r="P233" t="s">
        <v>1030</v>
      </c>
      <c r="Q233" t="s">
        <v>1440</v>
      </c>
    </row>
    <row r="234" spans="1:17" x14ac:dyDescent="0.25">
      <c r="A234" t="s">
        <v>42</v>
      </c>
      <c r="B234" t="s">
        <v>1445</v>
      </c>
      <c r="C234" t="s">
        <v>348</v>
      </c>
      <c r="D234" t="s">
        <v>1014</v>
      </c>
      <c r="E234">
        <v>2756</v>
      </c>
      <c r="F234" t="s">
        <v>1103</v>
      </c>
      <c r="G234" t="s">
        <v>1446</v>
      </c>
      <c r="H234" t="s">
        <v>1137</v>
      </c>
      <c r="I234" t="s">
        <v>1154</v>
      </c>
      <c r="J234" t="s">
        <v>987</v>
      </c>
      <c r="K234" t="b">
        <v>1</v>
      </c>
      <c r="L234" t="b">
        <v>0</v>
      </c>
      <c r="M234" t="s">
        <v>987</v>
      </c>
      <c r="N234" t="s">
        <v>1029</v>
      </c>
      <c r="O234" t="s">
        <v>990</v>
      </c>
      <c r="P234" t="s">
        <v>1030</v>
      </c>
      <c r="Q234" t="s">
        <v>1447</v>
      </c>
    </row>
    <row r="235" spans="1:17" x14ac:dyDescent="0.25">
      <c r="A235" t="s">
        <v>42</v>
      </c>
      <c r="B235" t="s">
        <v>1448</v>
      </c>
      <c r="C235" t="s">
        <v>348</v>
      </c>
      <c r="D235" t="s">
        <v>1016</v>
      </c>
      <c r="E235">
        <v>5957</v>
      </c>
      <c r="F235" t="s">
        <v>1018</v>
      </c>
      <c r="G235" t="s">
        <v>987</v>
      </c>
      <c r="H235" t="s">
        <v>1137</v>
      </c>
      <c r="I235" t="s">
        <v>987</v>
      </c>
      <c r="J235" t="s">
        <v>987</v>
      </c>
      <c r="K235" t="b">
        <v>0</v>
      </c>
      <c r="L235" t="b">
        <v>1</v>
      </c>
      <c r="M235" t="s">
        <v>1020</v>
      </c>
      <c r="N235" t="s">
        <v>989</v>
      </c>
      <c r="O235" t="s">
        <v>1021</v>
      </c>
      <c r="P235" t="s">
        <v>1022</v>
      </c>
      <c r="Q235" t="s">
        <v>1023</v>
      </c>
    </row>
    <row r="236" spans="1:17" x14ac:dyDescent="0.25">
      <c r="A236" t="s">
        <v>42</v>
      </c>
      <c r="B236" t="s">
        <v>1449</v>
      </c>
      <c r="C236" t="s">
        <v>348</v>
      </c>
      <c r="D236" t="s">
        <v>1115</v>
      </c>
      <c r="E236">
        <v>5948</v>
      </c>
      <c r="F236" t="s">
        <v>1018</v>
      </c>
      <c r="G236" t="s">
        <v>987</v>
      </c>
      <c r="H236" t="s">
        <v>1137</v>
      </c>
      <c r="I236" t="s">
        <v>987</v>
      </c>
      <c r="J236" t="s">
        <v>987</v>
      </c>
      <c r="K236" t="b">
        <v>0</v>
      </c>
      <c r="L236" t="b">
        <v>1</v>
      </c>
      <c r="M236" t="s">
        <v>1020</v>
      </c>
      <c r="N236" t="s">
        <v>989</v>
      </c>
      <c r="O236" t="s">
        <v>1021</v>
      </c>
      <c r="P236" t="s">
        <v>1022</v>
      </c>
      <c r="Q236" t="s">
        <v>1023</v>
      </c>
    </row>
    <row r="237" spans="1:17" x14ac:dyDescent="0.25">
      <c r="A237" t="s">
        <v>42</v>
      </c>
      <c r="B237" t="s">
        <v>1450</v>
      </c>
      <c r="C237" t="s">
        <v>351</v>
      </c>
      <c r="D237" t="s">
        <v>985</v>
      </c>
      <c r="E237">
        <v>4782</v>
      </c>
      <c r="F237" t="s">
        <v>1103</v>
      </c>
      <c r="G237" t="s">
        <v>1451</v>
      </c>
      <c r="H237" t="s">
        <v>1137</v>
      </c>
      <c r="I237" t="s">
        <v>1159</v>
      </c>
      <c r="J237" t="s">
        <v>987</v>
      </c>
      <c r="K237" t="b">
        <v>1</v>
      </c>
      <c r="L237" t="b">
        <v>0</v>
      </c>
      <c r="M237" t="s">
        <v>987</v>
      </c>
      <c r="N237" t="s">
        <v>1029</v>
      </c>
      <c r="O237" t="s">
        <v>990</v>
      </c>
      <c r="P237" t="s">
        <v>1030</v>
      </c>
      <c r="Q237" t="s">
        <v>1452</v>
      </c>
    </row>
    <row r="238" spans="1:17" x14ac:dyDescent="0.25">
      <c r="A238" t="s">
        <v>42</v>
      </c>
      <c r="B238" t="s">
        <v>1453</v>
      </c>
      <c r="C238" t="s">
        <v>351</v>
      </c>
      <c r="D238" t="s">
        <v>994</v>
      </c>
      <c r="E238">
        <v>4808</v>
      </c>
      <c r="F238" t="s">
        <v>1103</v>
      </c>
      <c r="G238" t="s">
        <v>1454</v>
      </c>
      <c r="H238" t="s">
        <v>1137</v>
      </c>
      <c r="I238" t="s">
        <v>1034</v>
      </c>
      <c r="J238" t="s">
        <v>987</v>
      </c>
      <c r="K238" t="b">
        <v>1</v>
      </c>
      <c r="L238" t="b">
        <v>0</v>
      </c>
      <c r="M238" t="s">
        <v>987</v>
      </c>
      <c r="N238" t="s">
        <v>1029</v>
      </c>
      <c r="O238" t="s">
        <v>990</v>
      </c>
      <c r="P238" t="s">
        <v>1030</v>
      </c>
      <c r="Q238" t="s">
        <v>1452</v>
      </c>
    </row>
    <row r="239" spans="1:17" x14ac:dyDescent="0.25">
      <c r="A239" t="s">
        <v>42</v>
      </c>
      <c r="B239" t="s">
        <v>1455</v>
      </c>
      <c r="C239" t="s">
        <v>351</v>
      </c>
      <c r="D239" t="s">
        <v>996</v>
      </c>
      <c r="E239">
        <v>4826</v>
      </c>
      <c r="F239" t="s">
        <v>1103</v>
      </c>
      <c r="G239" t="s">
        <v>1456</v>
      </c>
      <c r="H239" t="s">
        <v>1137</v>
      </c>
      <c r="I239" t="s">
        <v>1037</v>
      </c>
      <c r="J239" t="s">
        <v>987</v>
      </c>
      <c r="K239" t="b">
        <v>1</v>
      </c>
      <c r="L239" t="b">
        <v>0</v>
      </c>
      <c r="M239" t="s">
        <v>987</v>
      </c>
      <c r="N239" t="s">
        <v>1029</v>
      </c>
      <c r="O239" t="s">
        <v>990</v>
      </c>
      <c r="P239" t="s">
        <v>1030</v>
      </c>
      <c r="Q239" t="s">
        <v>1452</v>
      </c>
    </row>
    <row r="240" spans="1:17" x14ac:dyDescent="0.25">
      <c r="A240" t="s">
        <v>42</v>
      </c>
      <c r="B240" t="s">
        <v>1457</v>
      </c>
      <c r="C240" t="s">
        <v>351</v>
      </c>
      <c r="D240" t="s">
        <v>998</v>
      </c>
      <c r="E240">
        <v>4842</v>
      </c>
      <c r="F240" t="s">
        <v>1103</v>
      </c>
      <c r="G240" t="s">
        <v>1458</v>
      </c>
      <c r="H240" t="s">
        <v>1137</v>
      </c>
      <c r="I240" t="s">
        <v>1166</v>
      </c>
      <c r="J240" t="s">
        <v>987</v>
      </c>
      <c r="K240" t="b">
        <v>1</v>
      </c>
      <c r="L240" t="b">
        <v>0</v>
      </c>
      <c r="M240" t="s">
        <v>987</v>
      </c>
      <c r="N240" t="s">
        <v>1029</v>
      </c>
      <c r="O240" t="s">
        <v>990</v>
      </c>
      <c r="P240" t="s">
        <v>1030</v>
      </c>
      <c r="Q240" t="s">
        <v>1452</v>
      </c>
    </row>
    <row r="241" spans="1:17" x14ac:dyDescent="0.25">
      <c r="A241" t="s">
        <v>42</v>
      </c>
      <c r="B241" t="s">
        <v>1459</v>
      </c>
      <c r="C241" t="s">
        <v>351</v>
      </c>
      <c r="D241" t="s">
        <v>1000</v>
      </c>
      <c r="E241">
        <v>4814</v>
      </c>
      <c r="F241" t="s">
        <v>1103</v>
      </c>
      <c r="G241" t="s">
        <v>1460</v>
      </c>
      <c r="H241" t="s">
        <v>1137</v>
      </c>
      <c r="I241" t="s">
        <v>1028</v>
      </c>
      <c r="J241" t="s">
        <v>987</v>
      </c>
      <c r="K241" t="b">
        <v>1</v>
      </c>
      <c r="L241" t="b">
        <v>0</v>
      </c>
      <c r="M241" t="s">
        <v>987</v>
      </c>
      <c r="N241" t="s">
        <v>1029</v>
      </c>
      <c r="O241" t="s">
        <v>990</v>
      </c>
      <c r="P241" t="s">
        <v>1030</v>
      </c>
      <c r="Q241" t="s">
        <v>1452</v>
      </c>
    </row>
    <row r="242" spans="1:17" x14ac:dyDescent="0.25">
      <c r="A242" t="s">
        <v>42</v>
      </c>
      <c r="B242" t="s">
        <v>1461</v>
      </c>
      <c r="C242" t="s">
        <v>351</v>
      </c>
      <c r="D242" t="s">
        <v>1002</v>
      </c>
      <c r="E242">
        <v>4848</v>
      </c>
      <c r="F242" t="s">
        <v>1103</v>
      </c>
      <c r="G242" t="s">
        <v>1462</v>
      </c>
      <c r="H242" t="s">
        <v>1137</v>
      </c>
      <c r="I242" t="s">
        <v>1045</v>
      </c>
      <c r="J242" t="s">
        <v>987</v>
      </c>
      <c r="K242" t="b">
        <v>1</v>
      </c>
      <c r="L242" t="b">
        <v>0</v>
      </c>
      <c r="M242" t="s">
        <v>987</v>
      </c>
      <c r="N242" t="s">
        <v>1029</v>
      </c>
      <c r="O242" t="s">
        <v>990</v>
      </c>
      <c r="P242" t="s">
        <v>1030</v>
      </c>
      <c r="Q242" t="s">
        <v>1452</v>
      </c>
    </row>
    <row r="243" spans="1:17" x14ac:dyDescent="0.25">
      <c r="A243" t="s">
        <v>42</v>
      </c>
      <c r="B243" t="s">
        <v>1463</v>
      </c>
      <c r="C243" t="s">
        <v>351</v>
      </c>
      <c r="D243" t="s">
        <v>1004</v>
      </c>
      <c r="E243">
        <v>4857</v>
      </c>
      <c r="F243" t="s">
        <v>1103</v>
      </c>
      <c r="G243" t="s">
        <v>1464</v>
      </c>
      <c r="H243" t="s">
        <v>1137</v>
      </c>
      <c r="I243" t="s">
        <v>1048</v>
      </c>
      <c r="J243" t="s">
        <v>987</v>
      </c>
      <c r="K243" t="b">
        <v>1</v>
      </c>
      <c r="L243" t="b">
        <v>0</v>
      </c>
      <c r="M243" t="s">
        <v>987</v>
      </c>
      <c r="N243" t="s">
        <v>1029</v>
      </c>
      <c r="O243" t="s">
        <v>990</v>
      </c>
      <c r="P243" t="s">
        <v>1030</v>
      </c>
      <c r="Q243" t="s">
        <v>1452</v>
      </c>
    </row>
    <row r="244" spans="1:17" x14ac:dyDescent="0.25">
      <c r="A244" t="s">
        <v>42</v>
      </c>
      <c r="B244" t="s">
        <v>1465</v>
      </c>
      <c r="C244" t="s">
        <v>351</v>
      </c>
      <c r="D244" t="s">
        <v>1006</v>
      </c>
      <c r="E244">
        <v>4881</v>
      </c>
      <c r="F244" t="s">
        <v>1103</v>
      </c>
      <c r="G244" t="s">
        <v>1466</v>
      </c>
      <c r="H244" t="s">
        <v>1137</v>
      </c>
      <c r="I244" t="s">
        <v>1154</v>
      </c>
      <c r="J244" t="s">
        <v>987</v>
      </c>
      <c r="K244" t="b">
        <v>1</v>
      </c>
      <c r="L244" t="b">
        <v>0</v>
      </c>
      <c r="M244" t="s">
        <v>987</v>
      </c>
      <c r="N244" t="s">
        <v>1029</v>
      </c>
      <c r="O244" t="s">
        <v>990</v>
      </c>
      <c r="P244" t="s">
        <v>1030</v>
      </c>
      <c r="Q244" t="s">
        <v>1452</v>
      </c>
    </row>
    <row r="245" spans="1:17" x14ac:dyDescent="0.25">
      <c r="A245" t="s">
        <v>42</v>
      </c>
      <c r="B245" t="s">
        <v>1467</v>
      </c>
      <c r="C245" t="s">
        <v>351</v>
      </c>
      <c r="D245" t="s">
        <v>1008</v>
      </c>
      <c r="E245">
        <v>4834</v>
      </c>
      <c r="F245" t="s">
        <v>1103</v>
      </c>
      <c r="G245" t="s">
        <v>1468</v>
      </c>
      <c r="H245" t="s">
        <v>1137</v>
      </c>
      <c r="I245" t="s">
        <v>1054</v>
      </c>
      <c r="J245" t="s">
        <v>987</v>
      </c>
      <c r="K245" t="b">
        <v>1</v>
      </c>
      <c r="L245" t="b">
        <v>0</v>
      </c>
      <c r="M245" t="s">
        <v>987</v>
      </c>
      <c r="N245" t="s">
        <v>1029</v>
      </c>
      <c r="O245" t="s">
        <v>990</v>
      </c>
      <c r="P245" t="s">
        <v>1030</v>
      </c>
      <c r="Q245" t="s">
        <v>1452</v>
      </c>
    </row>
    <row r="246" spans="1:17" x14ac:dyDescent="0.25">
      <c r="A246" t="s">
        <v>42</v>
      </c>
      <c r="B246" t="s">
        <v>1469</v>
      </c>
      <c r="C246" t="s">
        <v>351</v>
      </c>
      <c r="D246" t="s">
        <v>1010</v>
      </c>
      <c r="E246">
        <v>4866</v>
      </c>
      <c r="F246" t="s">
        <v>1103</v>
      </c>
      <c r="G246" t="s">
        <v>1470</v>
      </c>
      <c r="H246" t="s">
        <v>1137</v>
      </c>
      <c r="I246" t="s">
        <v>1057</v>
      </c>
      <c r="J246" t="s">
        <v>987</v>
      </c>
      <c r="K246" t="b">
        <v>1</v>
      </c>
      <c r="L246" t="b">
        <v>0</v>
      </c>
      <c r="M246" t="s">
        <v>987</v>
      </c>
      <c r="N246" t="s">
        <v>1029</v>
      </c>
      <c r="O246" t="s">
        <v>990</v>
      </c>
      <c r="P246" t="s">
        <v>1030</v>
      </c>
      <c r="Q246" t="s">
        <v>1452</v>
      </c>
    </row>
    <row r="247" spans="1:17" x14ac:dyDescent="0.25">
      <c r="A247" t="s">
        <v>42</v>
      </c>
      <c r="B247" t="s">
        <v>1471</v>
      </c>
      <c r="C247" t="s">
        <v>351</v>
      </c>
      <c r="D247" t="s">
        <v>1012</v>
      </c>
      <c r="E247">
        <v>4880</v>
      </c>
      <c r="F247" t="s">
        <v>1103</v>
      </c>
      <c r="G247" t="s">
        <v>1472</v>
      </c>
      <c r="H247" t="s">
        <v>1137</v>
      </c>
      <c r="I247" t="s">
        <v>1060</v>
      </c>
      <c r="J247" t="s">
        <v>987</v>
      </c>
      <c r="K247" t="b">
        <v>1</v>
      </c>
      <c r="L247" t="b">
        <v>0</v>
      </c>
      <c r="M247" t="s">
        <v>987</v>
      </c>
      <c r="N247" t="s">
        <v>1029</v>
      </c>
      <c r="O247" t="s">
        <v>990</v>
      </c>
      <c r="P247" t="s">
        <v>1030</v>
      </c>
      <c r="Q247" t="s">
        <v>1452</v>
      </c>
    </row>
    <row r="248" spans="1:17" x14ac:dyDescent="0.25">
      <c r="A248" t="s">
        <v>42</v>
      </c>
      <c r="B248" t="s">
        <v>1473</v>
      </c>
      <c r="C248" t="s">
        <v>351</v>
      </c>
      <c r="D248" t="s">
        <v>1014</v>
      </c>
      <c r="E248">
        <v>4922</v>
      </c>
      <c r="F248" t="s">
        <v>1103</v>
      </c>
      <c r="G248" t="s">
        <v>1474</v>
      </c>
      <c r="H248" t="s">
        <v>1137</v>
      </c>
      <c r="I248" t="s">
        <v>1154</v>
      </c>
      <c r="J248" t="s">
        <v>987</v>
      </c>
      <c r="K248" t="b">
        <v>1</v>
      </c>
      <c r="L248" t="b">
        <v>0</v>
      </c>
      <c r="M248" t="s">
        <v>987</v>
      </c>
      <c r="N248" t="s">
        <v>1029</v>
      </c>
      <c r="O248" t="s">
        <v>990</v>
      </c>
      <c r="P248" t="s">
        <v>1030</v>
      </c>
      <c r="Q248" t="s">
        <v>1475</v>
      </c>
    </row>
    <row r="249" spans="1:17" x14ac:dyDescent="0.25">
      <c r="A249" t="s">
        <v>42</v>
      </c>
      <c r="B249" t="s">
        <v>1476</v>
      </c>
      <c r="C249" t="s">
        <v>351</v>
      </c>
      <c r="D249" t="s">
        <v>1016</v>
      </c>
      <c r="E249">
        <v>5132</v>
      </c>
      <c r="F249" t="s">
        <v>1103</v>
      </c>
      <c r="G249" t="s">
        <v>1477</v>
      </c>
      <c r="H249" t="s">
        <v>1137</v>
      </c>
      <c r="I249" t="s">
        <v>1066</v>
      </c>
      <c r="J249" t="s">
        <v>987</v>
      </c>
      <c r="K249" t="b">
        <v>1</v>
      </c>
      <c r="L249" t="b">
        <v>0</v>
      </c>
      <c r="M249" t="s">
        <v>987</v>
      </c>
      <c r="N249" t="s">
        <v>1029</v>
      </c>
      <c r="O249" t="s">
        <v>990</v>
      </c>
      <c r="P249" t="s">
        <v>1030</v>
      </c>
      <c r="Q249" t="s">
        <v>1452</v>
      </c>
    </row>
    <row r="250" spans="1:17" x14ac:dyDescent="0.25">
      <c r="A250" t="s">
        <v>42</v>
      </c>
      <c r="B250" t="s">
        <v>1478</v>
      </c>
      <c r="C250" t="s">
        <v>352</v>
      </c>
      <c r="D250" t="s">
        <v>985</v>
      </c>
      <c r="E250">
        <v>-660</v>
      </c>
      <c r="F250" t="s">
        <v>1026</v>
      </c>
      <c r="G250" t="s">
        <v>1479</v>
      </c>
      <c r="H250" t="s">
        <v>1137</v>
      </c>
      <c r="I250" t="s">
        <v>1159</v>
      </c>
      <c r="J250" t="s">
        <v>987</v>
      </c>
      <c r="K250" t="b">
        <v>1</v>
      </c>
      <c r="L250" t="b">
        <v>0</v>
      </c>
      <c r="M250" t="s">
        <v>987</v>
      </c>
      <c r="N250" t="s">
        <v>1029</v>
      </c>
      <c r="O250" t="s">
        <v>990</v>
      </c>
      <c r="P250" t="s">
        <v>1030</v>
      </c>
      <c r="Q250" t="s">
        <v>987</v>
      </c>
    </row>
    <row r="251" spans="1:17" x14ac:dyDescent="0.25">
      <c r="A251" t="s">
        <v>42</v>
      </c>
      <c r="B251" t="s">
        <v>1480</v>
      </c>
      <c r="C251" t="s">
        <v>352</v>
      </c>
      <c r="D251" t="s">
        <v>994</v>
      </c>
      <c r="E251">
        <v>-537</v>
      </c>
      <c r="F251" t="s">
        <v>1026</v>
      </c>
      <c r="G251" t="s">
        <v>1481</v>
      </c>
      <c r="H251" t="s">
        <v>1137</v>
      </c>
      <c r="I251" t="s">
        <v>1034</v>
      </c>
      <c r="J251" t="s">
        <v>987</v>
      </c>
      <c r="K251" t="b">
        <v>1</v>
      </c>
      <c r="L251" t="b">
        <v>0</v>
      </c>
      <c r="M251" t="s">
        <v>987</v>
      </c>
      <c r="N251" t="s">
        <v>1029</v>
      </c>
      <c r="O251" t="s">
        <v>990</v>
      </c>
      <c r="P251" t="s">
        <v>1030</v>
      </c>
      <c r="Q251" t="s">
        <v>987</v>
      </c>
    </row>
    <row r="252" spans="1:17" x14ac:dyDescent="0.25">
      <c r="A252" t="s">
        <v>42</v>
      </c>
      <c r="B252" t="s">
        <v>1482</v>
      </c>
      <c r="C252" t="s">
        <v>352</v>
      </c>
      <c r="D252" t="s">
        <v>996</v>
      </c>
      <c r="E252">
        <v>-436</v>
      </c>
      <c r="F252" t="s">
        <v>1026</v>
      </c>
      <c r="G252" t="s">
        <v>1483</v>
      </c>
      <c r="H252" t="s">
        <v>1137</v>
      </c>
      <c r="I252" t="s">
        <v>1037</v>
      </c>
      <c r="J252" t="s">
        <v>987</v>
      </c>
      <c r="K252" t="b">
        <v>1</v>
      </c>
      <c r="L252" t="b">
        <v>0</v>
      </c>
      <c r="M252" t="s">
        <v>987</v>
      </c>
      <c r="N252" t="s">
        <v>1029</v>
      </c>
      <c r="O252" t="s">
        <v>990</v>
      </c>
      <c r="P252" t="s">
        <v>1030</v>
      </c>
      <c r="Q252" t="s">
        <v>987</v>
      </c>
    </row>
    <row r="253" spans="1:17" x14ac:dyDescent="0.25">
      <c r="A253" t="s">
        <v>42</v>
      </c>
      <c r="B253" t="s">
        <v>1484</v>
      </c>
      <c r="C253" t="s">
        <v>352</v>
      </c>
      <c r="D253" t="s">
        <v>998</v>
      </c>
      <c r="E253">
        <v>-192</v>
      </c>
      <c r="F253" t="s">
        <v>1026</v>
      </c>
      <c r="G253" t="s">
        <v>1485</v>
      </c>
      <c r="H253" t="s">
        <v>1137</v>
      </c>
      <c r="I253" t="s">
        <v>1166</v>
      </c>
      <c r="J253" t="s">
        <v>987</v>
      </c>
      <c r="K253" t="b">
        <v>1</v>
      </c>
      <c r="L253" t="b">
        <v>0</v>
      </c>
      <c r="M253" t="s">
        <v>987</v>
      </c>
      <c r="N253" t="s">
        <v>1029</v>
      </c>
      <c r="O253" t="s">
        <v>990</v>
      </c>
      <c r="P253" t="s">
        <v>1030</v>
      </c>
      <c r="Q253" t="s">
        <v>987</v>
      </c>
    </row>
    <row r="254" spans="1:17" x14ac:dyDescent="0.25">
      <c r="A254" t="s">
        <v>42</v>
      </c>
      <c r="B254" t="s">
        <v>1486</v>
      </c>
      <c r="C254" t="s">
        <v>352</v>
      </c>
      <c r="D254" t="s">
        <v>1000</v>
      </c>
      <c r="E254">
        <v>1959</v>
      </c>
      <c r="F254" t="s">
        <v>1026</v>
      </c>
      <c r="G254" t="s">
        <v>1487</v>
      </c>
      <c r="H254" t="s">
        <v>1137</v>
      </c>
      <c r="I254" t="s">
        <v>1028</v>
      </c>
      <c r="J254" t="s">
        <v>987</v>
      </c>
      <c r="K254" t="b">
        <v>1</v>
      </c>
      <c r="L254" t="b">
        <v>0</v>
      </c>
      <c r="M254" t="s">
        <v>987</v>
      </c>
      <c r="N254" t="s">
        <v>1029</v>
      </c>
      <c r="O254" t="s">
        <v>990</v>
      </c>
      <c r="P254" t="s">
        <v>1030</v>
      </c>
      <c r="Q254" t="s">
        <v>987</v>
      </c>
    </row>
    <row r="255" spans="1:17" x14ac:dyDescent="0.25">
      <c r="A255" t="s">
        <v>42</v>
      </c>
      <c r="B255" t="s">
        <v>1488</v>
      </c>
      <c r="C255" t="s">
        <v>352</v>
      </c>
      <c r="D255" t="s">
        <v>1002</v>
      </c>
      <c r="E255">
        <v>2218</v>
      </c>
      <c r="F255" t="s">
        <v>1026</v>
      </c>
      <c r="G255" t="s">
        <v>1489</v>
      </c>
      <c r="H255" t="s">
        <v>1137</v>
      </c>
      <c r="I255" t="s">
        <v>1045</v>
      </c>
      <c r="J255" t="s">
        <v>987</v>
      </c>
      <c r="K255" t="b">
        <v>1</v>
      </c>
      <c r="L255" t="b">
        <v>0</v>
      </c>
      <c r="M255" t="s">
        <v>987</v>
      </c>
      <c r="N255" t="s">
        <v>1029</v>
      </c>
      <c r="O255" t="s">
        <v>990</v>
      </c>
      <c r="P255" t="s">
        <v>1030</v>
      </c>
      <c r="Q255" t="s">
        <v>987</v>
      </c>
    </row>
    <row r="256" spans="1:17" x14ac:dyDescent="0.25">
      <c r="A256" t="s">
        <v>42</v>
      </c>
      <c r="B256" t="s">
        <v>1490</v>
      </c>
      <c r="C256" t="s">
        <v>352</v>
      </c>
      <c r="D256" t="s">
        <v>1004</v>
      </c>
      <c r="E256">
        <v>2690</v>
      </c>
      <c r="F256" t="s">
        <v>1026</v>
      </c>
      <c r="G256" t="s">
        <v>1491</v>
      </c>
      <c r="H256" t="s">
        <v>1137</v>
      </c>
      <c r="I256" t="s">
        <v>1048</v>
      </c>
      <c r="J256" t="s">
        <v>987</v>
      </c>
      <c r="K256" t="b">
        <v>1</v>
      </c>
      <c r="L256" t="b">
        <v>0</v>
      </c>
      <c r="M256" t="s">
        <v>987</v>
      </c>
      <c r="N256" t="s">
        <v>1029</v>
      </c>
      <c r="O256" t="s">
        <v>990</v>
      </c>
      <c r="P256" t="s">
        <v>1030</v>
      </c>
      <c r="Q256" t="s">
        <v>987</v>
      </c>
    </row>
    <row r="257" spans="1:17" x14ac:dyDescent="0.25">
      <c r="A257" t="s">
        <v>42</v>
      </c>
      <c r="B257" t="s">
        <v>1492</v>
      </c>
      <c r="C257" t="s">
        <v>352</v>
      </c>
      <c r="D257" t="s">
        <v>1006</v>
      </c>
      <c r="E257">
        <v>3008</v>
      </c>
      <c r="F257" t="s">
        <v>1026</v>
      </c>
      <c r="G257" t="s">
        <v>1493</v>
      </c>
      <c r="H257" t="s">
        <v>1137</v>
      </c>
      <c r="I257" t="s">
        <v>1154</v>
      </c>
      <c r="J257" t="s">
        <v>987</v>
      </c>
      <c r="K257" t="b">
        <v>1</v>
      </c>
      <c r="L257" t="b">
        <v>0</v>
      </c>
      <c r="M257" t="s">
        <v>987</v>
      </c>
      <c r="N257" t="s">
        <v>1029</v>
      </c>
      <c r="O257" t="s">
        <v>990</v>
      </c>
      <c r="P257" t="s">
        <v>1030</v>
      </c>
      <c r="Q257" t="s">
        <v>987</v>
      </c>
    </row>
    <row r="258" spans="1:17" x14ac:dyDescent="0.25">
      <c r="A258" t="s">
        <v>42</v>
      </c>
      <c r="B258" t="s">
        <v>1494</v>
      </c>
      <c r="C258" t="s">
        <v>352</v>
      </c>
      <c r="D258" t="s">
        <v>1008</v>
      </c>
      <c r="E258">
        <v>3414</v>
      </c>
      <c r="F258" t="s">
        <v>1026</v>
      </c>
      <c r="G258" t="s">
        <v>1495</v>
      </c>
      <c r="H258" t="s">
        <v>1137</v>
      </c>
      <c r="I258" t="s">
        <v>1054</v>
      </c>
      <c r="J258" t="s">
        <v>987</v>
      </c>
      <c r="K258" t="b">
        <v>1</v>
      </c>
      <c r="L258" t="b">
        <v>0</v>
      </c>
      <c r="M258" t="s">
        <v>987</v>
      </c>
      <c r="N258" t="s">
        <v>1029</v>
      </c>
      <c r="O258" t="s">
        <v>990</v>
      </c>
      <c r="P258" t="s">
        <v>1030</v>
      </c>
      <c r="Q258" t="s">
        <v>987</v>
      </c>
    </row>
    <row r="259" spans="1:17" x14ac:dyDescent="0.25">
      <c r="A259" t="s">
        <v>42</v>
      </c>
      <c r="B259" t="s">
        <v>1496</v>
      </c>
      <c r="C259" t="s">
        <v>352</v>
      </c>
      <c r="D259" t="s">
        <v>1010</v>
      </c>
      <c r="E259">
        <v>3702</v>
      </c>
      <c r="F259" t="s">
        <v>1026</v>
      </c>
      <c r="G259" t="s">
        <v>1497</v>
      </c>
      <c r="H259" t="s">
        <v>1137</v>
      </c>
      <c r="I259" t="s">
        <v>1057</v>
      </c>
      <c r="J259" t="s">
        <v>987</v>
      </c>
      <c r="K259" t="b">
        <v>1</v>
      </c>
      <c r="L259" t="b">
        <v>0</v>
      </c>
      <c r="M259" t="s">
        <v>987</v>
      </c>
      <c r="N259" t="s">
        <v>1029</v>
      </c>
      <c r="O259" t="s">
        <v>990</v>
      </c>
      <c r="P259" t="s">
        <v>1030</v>
      </c>
      <c r="Q259" t="s">
        <v>987</v>
      </c>
    </row>
    <row r="260" spans="1:17" x14ac:dyDescent="0.25">
      <c r="A260" t="s">
        <v>42</v>
      </c>
      <c r="B260" t="s">
        <v>1498</v>
      </c>
      <c r="C260" t="s">
        <v>352</v>
      </c>
      <c r="D260" t="s">
        <v>1012</v>
      </c>
      <c r="E260">
        <v>4044</v>
      </c>
      <c r="F260" t="s">
        <v>1026</v>
      </c>
      <c r="G260" t="s">
        <v>1499</v>
      </c>
      <c r="H260" t="s">
        <v>1137</v>
      </c>
      <c r="I260" t="s">
        <v>1060</v>
      </c>
      <c r="J260" t="s">
        <v>987</v>
      </c>
      <c r="K260" t="b">
        <v>1</v>
      </c>
      <c r="L260" t="b">
        <v>0</v>
      </c>
      <c r="M260" t="s">
        <v>987</v>
      </c>
      <c r="N260" t="s">
        <v>1029</v>
      </c>
      <c r="O260" t="s">
        <v>990</v>
      </c>
      <c r="P260" t="s">
        <v>1030</v>
      </c>
      <c r="Q260" t="s">
        <v>987</v>
      </c>
    </row>
    <row r="261" spans="1:17" x14ac:dyDescent="0.25">
      <c r="A261" t="s">
        <v>42</v>
      </c>
      <c r="B261" t="s">
        <v>1500</v>
      </c>
      <c r="C261" t="s">
        <v>352</v>
      </c>
      <c r="D261" t="s">
        <v>1014</v>
      </c>
      <c r="E261">
        <v>4415</v>
      </c>
      <c r="F261" t="s">
        <v>1026</v>
      </c>
      <c r="G261" t="s">
        <v>1501</v>
      </c>
      <c r="H261" t="s">
        <v>1137</v>
      </c>
      <c r="I261" t="s">
        <v>1154</v>
      </c>
      <c r="J261" t="s">
        <v>987</v>
      </c>
      <c r="K261" t="b">
        <v>1</v>
      </c>
      <c r="L261" t="b">
        <v>0</v>
      </c>
      <c r="M261" t="s">
        <v>987</v>
      </c>
      <c r="N261" t="s">
        <v>1029</v>
      </c>
      <c r="O261" t="s">
        <v>990</v>
      </c>
      <c r="P261" t="s">
        <v>1030</v>
      </c>
      <c r="Q261" t="s">
        <v>987</v>
      </c>
    </row>
    <row r="262" spans="1:17" x14ac:dyDescent="0.25">
      <c r="A262" t="s">
        <v>42</v>
      </c>
      <c r="B262" t="s">
        <v>1502</v>
      </c>
      <c r="C262" t="s">
        <v>352</v>
      </c>
      <c r="D262" t="s">
        <v>1016</v>
      </c>
      <c r="E262">
        <v>5117</v>
      </c>
      <c r="F262" t="s">
        <v>1026</v>
      </c>
      <c r="G262" t="s">
        <v>1503</v>
      </c>
      <c r="H262" t="s">
        <v>1137</v>
      </c>
      <c r="I262" t="s">
        <v>1066</v>
      </c>
      <c r="J262" t="s">
        <v>987</v>
      </c>
      <c r="K262" t="b">
        <v>1</v>
      </c>
      <c r="L262" t="b">
        <v>0</v>
      </c>
      <c r="M262" t="s">
        <v>987</v>
      </c>
      <c r="N262" t="s">
        <v>1029</v>
      </c>
      <c r="O262" t="s">
        <v>990</v>
      </c>
      <c r="P262" t="s">
        <v>1030</v>
      </c>
      <c r="Q262" t="s">
        <v>987</v>
      </c>
    </row>
    <row r="263" spans="1:17" x14ac:dyDescent="0.25">
      <c r="A263" t="s">
        <v>42</v>
      </c>
      <c r="B263" t="s">
        <v>1504</v>
      </c>
      <c r="C263" t="s">
        <v>353</v>
      </c>
      <c r="D263" t="s">
        <v>985</v>
      </c>
      <c r="E263">
        <v>-2710</v>
      </c>
      <c r="F263" t="s">
        <v>1103</v>
      </c>
      <c r="G263" t="s">
        <v>1505</v>
      </c>
      <c r="H263" t="s">
        <v>1137</v>
      </c>
      <c r="I263" t="s">
        <v>1159</v>
      </c>
      <c r="J263" t="s">
        <v>987</v>
      </c>
      <c r="K263" t="b">
        <v>1</v>
      </c>
      <c r="L263" t="b">
        <v>0</v>
      </c>
      <c r="M263" t="s">
        <v>987</v>
      </c>
      <c r="N263" t="s">
        <v>1029</v>
      </c>
      <c r="O263" t="s">
        <v>990</v>
      </c>
      <c r="P263" t="s">
        <v>1030</v>
      </c>
      <c r="Q263" t="s">
        <v>1506</v>
      </c>
    </row>
    <row r="264" spans="1:17" x14ac:dyDescent="0.25">
      <c r="A264" t="s">
        <v>42</v>
      </c>
      <c r="B264" t="s">
        <v>1507</v>
      </c>
      <c r="C264" t="s">
        <v>353</v>
      </c>
      <c r="D264" t="s">
        <v>994</v>
      </c>
      <c r="E264">
        <v>-2750</v>
      </c>
      <c r="F264" t="s">
        <v>1103</v>
      </c>
      <c r="G264" t="s">
        <v>1508</v>
      </c>
      <c r="H264" t="s">
        <v>1137</v>
      </c>
      <c r="I264" t="s">
        <v>1034</v>
      </c>
      <c r="J264" t="s">
        <v>987</v>
      </c>
      <c r="K264" t="b">
        <v>1</v>
      </c>
      <c r="L264" t="b">
        <v>0</v>
      </c>
      <c r="M264" t="s">
        <v>987</v>
      </c>
      <c r="N264" t="s">
        <v>1029</v>
      </c>
      <c r="O264" t="s">
        <v>990</v>
      </c>
      <c r="P264" t="s">
        <v>1030</v>
      </c>
      <c r="Q264" t="s">
        <v>1506</v>
      </c>
    </row>
    <row r="265" spans="1:17" x14ac:dyDescent="0.25">
      <c r="A265" t="s">
        <v>42</v>
      </c>
      <c r="B265" t="s">
        <v>1509</v>
      </c>
      <c r="C265" t="s">
        <v>353</v>
      </c>
      <c r="D265" t="s">
        <v>996</v>
      </c>
      <c r="E265">
        <v>-2750</v>
      </c>
      <c r="F265" t="s">
        <v>1103</v>
      </c>
      <c r="G265" t="s">
        <v>1508</v>
      </c>
      <c r="H265" t="s">
        <v>1137</v>
      </c>
      <c r="I265" t="s">
        <v>1037</v>
      </c>
      <c r="J265" t="s">
        <v>987</v>
      </c>
      <c r="K265" t="b">
        <v>1</v>
      </c>
      <c r="L265" t="b">
        <v>0</v>
      </c>
      <c r="M265" t="s">
        <v>987</v>
      </c>
      <c r="N265" t="s">
        <v>1029</v>
      </c>
      <c r="O265" t="s">
        <v>990</v>
      </c>
      <c r="P265" t="s">
        <v>1030</v>
      </c>
      <c r="Q265" t="s">
        <v>1506</v>
      </c>
    </row>
    <row r="266" spans="1:17" x14ac:dyDescent="0.25">
      <c r="A266" t="s">
        <v>42</v>
      </c>
      <c r="B266" t="s">
        <v>1510</v>
      </c>
      <c r="C266" t="s">
        <v>353</v>
      </c>
      <c r="D266" t="s">
        <v>998</v>
      </c>
      <c r="E266">
        <v>-2861</v>
      </c>
      <c r="F266" t="s">
        <v>1103</v>
      </c>
      <c r="G266" t="s">
        <v>1511</v>
      </c>
      <c r="H266" t="s">
        <v>1137</v>
      </c>
      <c r="I266" t="s">
        <v>1166</v>
      </c>
      <c r="J266" t="s">
        <v>987</v>
      </c>
      <c r="K266" t="b">
        <v>1</v>
      </c>
      <c r="L266" t="b">
        <v>0</v>
      </c>
      <c r="M266" t="s">
        <v>987</v>
      </c>
      <c r="N266" t="s">
        <v>1029</v>
      </c>
      <c r="O266" t="s">
        <v>990</v>
      </c>
      <c r="P266" t="s">
        <v>1030</v>
      </c>
      <c r="Q266" t="s">
        <v>1506</v>
      </c>
    </row>
    <row r="267" spans="1:17" x14ac:dyDescent="0.25">
      <c r="A267" t="s">
        <v>42</v>
      </c>
      <c r="B267" t="s">
        <v>1512</v>
      </c>
      <c r="C267" t="s">
        <v>353</v>
      </c>
      <c r="D267" t="s">
        <v>1000</v>
      </c>
      <c r="E267">
        <v>-3141</v>
      </c>
      <c r="F267" t="s">
        <v>1103</v>
      </c>
      <c r="G267" t="s">
        <v>1513</v>
      </c>
      <c r="H267" t="s">
        <v>1137</v>
      </c>
      <c r="I267" t="s">
        <v>1028</v>
      </c>
      <c r="J267" t="s">
        <v>987</v>
      </c>
      <c r="K267" t="b">
        <v>1</v>
      </c>
      <c r="L267" t="b">
        <v>0</v>
      </c>
      <c r="M267" t="s">
        <v>987</v>
      </c>
      <c r="N267" t="s">
        <v>1029</v>
      </c>
      <c r="O267" t="s">
        <v>990</v>
      </c>
      <c r="P267" t="s">
        <v>1030</v>
      </c>
      <c r="Q267" t="s">
        <v>1506</v>
      </c>
    </row>
    <row r="268" spans="1:17" x14ac:dyDescent="0.25">
      <c r="A268" t="s">
        <v>42</v>
      </c>
      <c r="B268" t="s">
        <v>1514</v>
      </c>
      <c r="C268" t="s">
        <v>353</v>
      </c>
      <c r="D268" t="s">
        <v>1002</v>
      </c>
      <c r="E268">
        <v>-3414</v>
      </c>
      <c r="F268" t="s">
        <v>1103</v>
      </c>
      <c r="G268" t="s">
        <v>1515</v>
      </c>
      <c r="H268" t="s">
        <v>1137</v>
      </c>
      <c r="I268" t="s">
        <v>1045</v>
      </c>
      <c r="J268" t="s">
        <v>987</v>
      </c>
      <c r="K268" t="b">
        <v>1</v>
      </c>
      <c r="L268" t="b">
        <v>0</v>
      </c>
      <c r="M268" t="s">
        <v>987</v>
      </c>
      <c r="N268" t="s">
        <v>1029</v>
      </c>
      <c r="O268" t="s">
        <v>990</v>
      </c>
      <c r="P268" t="s">
        <v>1030</v>
      </c>
      <c r="Q268" t="s">
        <v>1506</v>
      </c>
    </row>
    <row r="269" spans="1:17" x14ac:dyDescent="0.25">
      <c r="A269" t="s">
        <v>42</v>
      </c>
      <c r="B269" t="s">
        <v>1516</v>
      </c>
      <c r="C269" t="s">
        <v>353</v>
      </c>
      <c r="D269" t="s">
        <v>1004</v>
      </c>
      <c r="E269">
        <v>-3538</v>
      </c>
      <c r="F269" t="s">
        <v>1103</v>
      </c>
      <c r="G269" t="s">
        <v>1517</v>
      </c>
      <c r="H269" t="s">
        <v>1137</v>
      </c>
      <c r="I269" t="s">
        <v>1048</v>
      </c>
      <c r="J269" t="s">
        <v>987</v>
      </c>
      <c r="K269" t="b">
        <v>1</v>
      </c>
      <c r="L269" t="b">
        <v>0</v>
      </c>
      <c r="M269" t="s">
        <v>987</v>
      </c>
      <c r="N269" t="s">
        <v>1029</v>
      </c>
      <c r="O269" t="s">
        <v>990</v>
      </c>
      <c r="P269" t="s">
        <v>1030</v>
      </c>
      <c r="Q269" t="s">
        <v>1506</v>
      </c>
    </row>
    <row r="270" spans="1:17" x14ac:dyDescent="0.25">
      <c r="A270" t="s">
        <v>42</v>
      </c>
      <c r="B270" t="s">
        <v>1518</v>
      </c>
      <c r="C270" t="s">
        <v>353</v>
      </c>
      <c r="D270" t="s">
        <v>1006</v>
      </c>
      <c r="E270">
        <v>-3538</v>
      </c>
      <c r="F270" t="s">
        <v>1103</v>
      </c>
      <c r="G270" t="s">
        <v>1517</v>
      </c>
      <c r="H270" t="s">
        <v>1137</v>
      </c>
      <c r="I270" t="s">
        <v>1154</v>
      </c>
      <c r="J270" t="s">
        <v>987</v>
      </c>
      <c r="K270" t="b">
        <v>1</v>
      </c>
      <c r="L270" t="b">
        <v>0</v>
      </c>
      <c r="M270" t="s">
        <v>987</v>
      </c>
      <c r="N270" t="s">
        <v>1029</v>
      </c>
      <c r="O270" t="s">
        <v>990</v>
      </c>
      <c r="P270" t="s">
        <v>1030</v>
      </c>
      <c r="Q270" t="s">
        <v>1506</v>
      </c>
    </row>
    <row r="271" spans="1:17" x14ac:dyDescent="0.25">
      <c r="A271" t="s">
        <v>42</v>
      </c>
      <c r="B271" t="s">
        <v>1519</v>
      </c>
      <c r="C271" t="s">
        <v>353</v>
      </c>
      <c r="D271" t="s">
        <v>1008</v>
      </c>
      <c r="E271">
        <v>-3889</v>
      </c>
      <c r="F271" t="s">
        <v>1103</v>
      </c>
      <c r="G271" t="s">
        <v>1520</v>
      </c>
      <c r="H271" t="s">
        <v>1137</v>
      </c>
      <c r="I271" t="s">
        <v>1054</v>
      </c>
      <c r="J271" t="s">
        <v>987</v>
      </c>
      <c r="K271" t="b">
        <v>1</v>
      </c>
      <c r="L271" t="b">
        <v>0</v>
      </c>
      <c r="M271" t="s">
        <v>987</v>
      </c>
      <c r="N271" t="s">
        <v>1029</v>
      </c>
      <c r="O271" t="s">
        <v>990</v>
      </c>
      <c r="P271" t="s">
        <v>1030</v>
      </c>
      <c r="Q271" t="s">
        <v>1506</v>
      </c>
    </row>
    <row r="272" spans="1:17" x14ac:dyDescent="0.25">
      <c r="A272" t="s">
        <v>42</v>
      </c>
      <c r="B272" t="s">
        <v>1521</v>
      </c>
      <c r="C272" t="s">
        <v>353</v>
      </c>
      <c r="D272" t="s">
        <v>1010</v>
      </c>
      <c r="E272">
        <v>-4642</v>
      </c>
      <c r="F272" t="s">
        <v>1103</v>
      </c>
      <c r="G272" t="s">
        <v>1522</v>
      </c>
      <c r="H272" t="s">
        <v>1137</v>
      </c>
      <c r="I272" t="s">
        <v>1057</v>
      </c>
      <c r="J272" t="s">
        <v>987</v>
      </c>
      <c r="K272" t="b">
        <v>1</v>
      </c>
      <c r="L272" t="b">
        <v>0</v>
      </c>
      <c r="M272" t="s">
        <v>987</v>
      </c>
      <c r="N272" t="s">
        <v>1029</v>
      </c>
      <c r="O272" t="s">
        <v>990</v>
      </c>
      <c r="P272" t="s">
        <v>1030</v>
      </c>
      <c r="Q272" t="s">
        <v>1506</v>
      </c>
    </row>
    <row r="273" spans="1:17" x14ac:dyDescent="0.25">
      <c r="A273" t="s">
        <v>42</v>
      </c>
      <c r="B273" t="s">
        <v>1523</v>
      </c>
      <c r="C273" t="s">
        <v>353</v>
      </c>
      <c r="D273" t="s">
        <v>1012</v>
      </c>
      <c r="E273">
        <v>-4736</v>
      </c>
      <c r="F273" t="s">
        <v>1103</v>
      </c>
      <c r="G273" t="s">
        <v>1524</v>
      </c>
      <c r="H273" t="s">
        <v>1137</v>
      </c>
      <c r="I273" t="s">
        <v>1060</v>
      </c>
      <c r="J273" t="s">
        <v>987</v>
      </c>
      <c r="K273" t="b">
        <v>1</v>
      </c>
      <c r="L273" t="b">
        <v>0</v>
      </c>
      <c r="M273" t="s">
        <v>987</v>
      </c>
      <c r="N273" t="s">
        <v>1029</v>
      </c>
      <c r="O273" t="s">
        <v>990</v>
      </c>
      <c r="P273" t="s">
        <v>1030</v>
      </c>
      <c r="Q273" t="s">
        <v>1506</v>
      </c>
    </row>
    <row r="274" spans="1:17" x14ac:dyDescent="0.25">
      <c r="A274" t="s">
        <v>42</v>
      </c>
      <c r="B274" t="s">
        <v>1525</v>
      </c>
      <c r="C274" t="s">
        <v>353</v>
      </c>
      <c r="D274" t="s">
        <v>1014</v>
      </c>
      <c r="E274">
        <v>-4936</v>
      </c>
      <c r="F274" t="s">
        <v>1103</v>
      </c>
      <c r="G274" t="s">
        <v>1526</v>
      </c>
      <c r="H274" t="s">
        <v>1137</v>
      </c>
      <c r="I274" t="s">
        <v>1154</v>
      </c>
      <c r="J274" t="s">
        <v>987</v>
      </c>
      <c r="K274" t="b">
        <v>1</v>
      </c>
      <c r="L274" t="b">
        <v>0</v>
      </c>
      <c r="M274" t="s">
        <v>987</v>
      </c>
      <c r="N274" t="s">
        <v>1029</v>
      </c>
      <c r="O274" t="s">
        <v>990</v>
      </c>
      <c r="P274" t="s">
        <v>1030</v>
      </c>
      <c r="Q274" t="s">
        <v>1527</v>
      </c>
    </row>
    <row r="275" spans="1:17" x14ac:dyDescent="0.25">
      <c r="A275" t="s">
        <v>42</v>
      </c>
      <c r="B275" t="s">
        <v>1528</v>
      </c>
      <c r="C275" t="s">
        <v>353</v>
      </c>
      <c r="D275" t="s">
        <v>1016</v>
      </c>
      <c r="E275">
        <v>-5256</v>
      </c>
      <c r="F275" t="s">
        <v>1103</v>
      </c>
      <c r="G275" t="s">
        <v>1529</v>
      </c>
      <c r="H275" t="s">
        <v>1137</v>
      </c>
      <c r="I275" t="s">
        <v>1066</v>
      </c>
      <c r="J275" t="s">
        <v>987</v>
      </c>
      <c r="K275" t="b">
        <v>1</v>
      </c>
      <c r="L275" t="b">
        <v>0</v>
      </c>
      <c r="M275" t="s">
        <v>987</v>
      </c>
      <c r="N275" t="s">
        <v>1029</v>
      </c>
      <c r="O275" t="s">
        <v>990</v>
      </c>
      <c r="P275" t="s">
        <v>1030</v>
      </c>
      <c r="Q275" t="s">
        <v>1506</v>
      </c>
    </row>
    <row r="276" spans="1:17" x14ac:dyDescent="0.25">
      <c r="A276" t="s">
        <v>42</v>
      </c>
      <c r="B276" t="s">
        <v>1530</v>
      </c>
      <c r="C276" t="s">
        <v>353</v>
      </c>
      <c r="D276" t="s">
        <v>1115</v>
      </c>
      <c r="E276">
        <v>-5256</v>
      </c>
      <c r="F276" t="s">
        <v>1103</v>
      </c>
      <c r="G276" t="s">
        <v>1529</v>
      </c>
      <c r="H276" t="s">
        <v>1137</v>
      </c>
      <c r="I276" t="s">
        <v>1066</v>
      </c>
      <c r="J276" t="s">
        <v>987</v>
      </c>
      <c r="K276" t="b">
        <v>1</v>
      </c>
      <c r="L276" t="b">
        <v>0</v>
      </c>
      <c r="M276" t="s">
        <v>987</v>
      </c>
      <c r="N276" t="s">
        <v>1029</v>
      </c>
      <c r="O276" t="s">
        <v>990</v>
      </c>
      <c r="P276" t="s">
        <v>1030</v>
      </c>
      <c r="Q276" t="s">
        <v>1531</v>
      </c>
    </row>
    <row r="277" spans="1:17" x14ac:dyDescent="0.25">
      <c r="A277" t="s">
        <v>42</v>
      </c>
      <c r="B277" t="s">
        <v>1532</v>
      </c>
      <c r="C277" t="s">
        <v>354</v>
      </c>
      <c r="D277" t="s">
        <v>985</v>
      </c>
      <c r="E277">
        <v>-179</v>
      </c>
      <c r="F277" t="s">
        <v>1026</v>
      </c>
      <c r="G277" t="s">
        <v>1533</v>
      </c>
      <c r="H277" t="s">
        <v>1137</v>
      </c>
      <c r="I277" t="s">
        <v>1159</v>
      </c>
      <c r="J277" t="s">
        <v>987</v>
      </c>
      <c r="K277" t="b">
        <v>1</v>
      </c>
      <c r="L277" t="b">
        <v>0</v>
      </c>
      <c r="M277" t="s">
        <v>987</v>
      </c>
      <c r="N277" t="s">
        <v>1029</v>
      </c>
      <c r="O277" t="s">
        <v>990</v>
      </c>
      <c r="P277" t="s">
        <v>1030</v>
      </c>
      <c r="Q277" t="s">
        <v>987</v>
      </c>
    </row>
    <row r="278" spans="1:17" x14ac:dyDescent="0.25">
      <c r="A278" t="s">
        <v>42</v>
      </c>
      <c r="B278" t="s">
        <v>1534</v>
      </c>
      <c r="C278" t="s">
        <v>354</v>
      </c>
      <c r="D278" t="s">
        <v>994</v>
      </c>
      <c r="E278">
        <v>-178</v>
      </c>
      <c r="F278" t="s">
        <v>1026</v>
      </c>
      <c r="G278" t="s">
        <v>1535</v>
      </c>
      <c r="H278" t="s">
        <v>1137</v>
      </c>
      <c r="I278" t="s">
        <v>1034</v>
      </c>
      <c r="J278" t="s">
        <v>987</v>
      </c>
      <c r="K278" t="b">
        <v>1</v>
      </c>
      <c r="L278" t="b">
        <v>0</v>
      </c>
      <c r="M278" t="s">
        <v>987</v>
      </c>
      <c r="N278" t="s">
        <v>1029</v>
      </c>
      <c r="O278" t="s">
        <v>990</v>
      </c>
      <c r="P278" t="s">
        <v>1030</v>
      </c>
      <c r="Q278" t="s">
        <v>987</v>
      </c>
    </row>
    <row r="279" spans="1:17" x14ac:dyDescent="0.25">
      <c r="A279" t="s">
        <v>42</v>
      </c>
      <c r="B279" t="s">
        <v>1536</v>
      </c>
      <c r="C279" t="s">
        <v>354</v>
      </c>
      <c r="D279" t="s">
        <v>996</v>
      </c>
      <c r="E279">
        <v>-176</v>
      </c>
      <c r="F279" t="s">
        <v>1026</v>
      </c>
      <c r="G279" t="s">
        <v>1537</v>
      </c>
      <c r="H279" t="s">
        <v>1137</v>
      </c>
      <c r="I279" t="s">
        <v>1037</v>
      </c>
      <c r="J279" t="s">
        <v>987</v>
      </c>
      <c r="K279" t="b">
        <v>1</v>
      </c>
      <c r="L279" t="b">
        <v>0</v>
      </c>
      <c r="M279" t="s">
        <v>987</v>
      </c>
      <c r="N279" t="s">
        <v>1029</v>
      </c>
      <c r="O279" t="s">
        <v>990</v>
      </c>
      <c r="P279" t="s">
        <v>1030</v>
      </c>
      <c r="Q279" t="s">
        <v>987</v>
      </c>
    </row>
    <row r="280" spans="1:17" x14ac:dyDescent="0.25">
      <c r="A280" t="s">
        <v>42</v>
      </c>
      <c r="B280" t="s">
        <v>1538</v>
      </c>
      <c r="C280" t="s">
        <v>354</v>
      </c>
      <c r="D280" t="s">
        <v>998</v>
      </c>
      <c r="E280">
        <v>-181</v>
      </c>
      <c r="F280" t="s">
        <v>1026</v>
      </c>
      <c r="G280" t="s">
        <v>1539</v>
      </c>
      <c r="H280" t="s">
        <v>1137</v>
      </c>
      <c r="I280" t="s">
        <v>1166</v>
      </c>
      <c r="J280" t="s">
        <v>987</v>
      </c>
      <c r="K280" t="b">
        <v>1</v>
      </c>
      <c r="L280" t="b">
        <v>0</v>
      </c>
      <c r="M280" t="s">
        <v>987</v>
      </c>
      <c r="N280" t="s">
        <v>1029</v>
      </c>
      <c r="O280" t="s">
        <v>990</v>
      </c>
      <c r="P280" t="s">
        <v>1030</v>
      </c>
      <c r="Q280" t="s">
        <v>987</v>
      </c>
    </row>
    <row r="281" spans="1:17" x14ac:dyDescent="0.25">
      <c r="A281" t="s">
        <v>42</v>
      </c>
      <c r="B281" t="s">
        <v>1540</v>
      </c>
      <c r="C281" t="s">
        <v>354</v>
      </c>
      <c r="D281" t="s">
        <v>1000</v>
      </c>
      <c r="E281">
        <v>-179</v>
      </c>
      <c r="F281" t="s">
        <v>1026</v>
      </c>
      <c r="G281" t="s">
        <v>1533</v>
      </c>
      <c r="H281" t="s">
        <v>1137</v>
      </c>
      <c r="I281" t="s">
        <v>1028</v>
      </c>
      <c r="J281" t="s">
        <v>987</v>
      </c>
      <c r="K281" t="b">
        <v>1</v>
      </c>
      <c r="L281" t="b">
        <v>0</v>
      </c>
      <c r="M281" t="s">
        <v>987</v>
      </c>
      <c r="N281" t="s">
        <v>1029</v>
      </c>
      <c r="O281" t="s">
        <v>990</v>
      </c>
      <c r="P281" t="s">
        <v>1030</v>
      </c>
      <c r="Q281" t="s">
        <v>987</v>
      </c>
    </row>
    <row r="282" spans="1:17" x14ac:dyDescent="0.25">
      <c r="A282" t="s">
        <v>42</v>
      </c>
      <c r="B282" t="s">
        <v>1541</v>
      </c>
      <c r="C282" t="s">
        <v>354</v>
      </c>
      <c r="D282" t="s">
        <v>1002</v>
      </c>
      <c r="E282">
        <v>-177</v>
      </c>
      <c r="F282" t="s">
        <v>1026</v>
      </c>
      <c r="G282" t="s">
        <v>1542</v>
      </c>
      <c r="H282" t="s">
        <v>1137</v>
      </c>
      <c r="I282" t="s">
        <v>1045</v>
      </c>
      <c r="J282" t="s">
        <v>987</v>
      </c>
      <c r="K282" t="b">
        <v>1</v>
      </c>
      <c r="L282" t="b">
        <v>0</v>
      </c>
      <c r="M282" t="s">
        <v>987</v>
      </c>
      <c r="N282" t="s">
        <v>1029</v>
      </c>
      <c r="O282" t="s">
        <v>990</v>
      </c>
      <c r="P282" t="s">
        <v>1030</v>
      </c>
      <c r="Q282" t="s">
        <v>987</v>
      </c>
    </row>
    <row r="283" spans="1:17" x14ac:dyDescent="0.25">
      <c r="A283" t="s">
        <v>42</v>
      </c>
      <c r="B283" t="s">
        <v>1543</v>
      </c>
      <c r="C283" t="s">
        <v>354</v>
      </c>
      <c r="D283" t="s">
        <v>1004</v>
      </c>
      <c r="E283">
        <v>-175</v>
      </c>
      <c r="F283" t="s">
        <v>1026</v>
      </c>
      <c r="G283" t="s">
        <v>1544</v>
      </c>
      <c r="H283" t="s">
        <v>1137</v>
      </c>
      <c r="I283" t="s">
        <v>1048</v>
      </c>
      <c r="J283" t="s">
        <v>987</v>
      </c>
      <c r="K283" t="b">
        <v>1</v>
      </c>
      <c r="L283" t="b">
        <v>0</v>
      </c>
      <c r="M283" t="s">
        <v>987</v>
      </c>
      <c r="N283" t="s">
        <v>1029</v>
      </c>
      <c r="O283" t="s">
        <v>990</v>
      </c>
      <c r="P283" t="s">
        <v>1030</v>
      </c>
      <c r="Q283" t="s">
        <v>987</v>
      </c>
    </row>
    <row r="284" spans="1:17" x14ac:dyDescent="0.25">
      <c r="A284" t="s">
        <v>42</v>
      </c>
      <c r="B284" t="s">
        <v>1545</v>
      </c>
      <c r="C284" t="s">
        <v>354</v>
      </c>
      <c r="D284" t="s">
        <v>1006</v>
      </c>
      <c r="E284">
        <v>-180</v>
      </c>
      <c r="F284" t="s">
        <v>1026</v>
      </c>
      <c r="G284" t="s">
        <v>1546</v>
      </c>
      <c r="H284" t="s">
        <v>1137</v>
      </c>
      <c r="I284" t="s">
        <v>1154</v>
      </c>
      <c r="J284" t="s">
        <v>987</v>
      </c>
      <c r="K284" t="b">
        <v>1</v>
      </c>
      <c r="L284" t="b">
        <v>0</v>
      </c>
      <c r="M284" t="s">
        <v>987</v>
      </c>
      <c r="N284" t="s">
        <v>1029</v>
      </c>
      <c r="O284" t="s">
        <v>990</v>
      </c>
      <c r="P284" t="s">
        <v>1030</v>
      </c>
      <c r="Q284" t="s">
        <v>987</v>
      </c>
    </row>
    <row r="285" spans="1:17" x14ac:dyDescent="0.25">
      <c r="A285" t="s">
        <v>42</v>
      </c>
      <c r="B285" t="s">
        <v>1547</v>
      </c>
      <c r="C285" t="s">
        <v>354</v>
      </c>
      <c r="D285" t="s">
        <v>1008</v>
      </c>
      <c r="E285">
        <v>-178</v>
      </c>
      <c r="F285" t="s">
        <v>1026</v>
      </c>
      <c r="G285" t="s">
        <v>1535</v>
      </c>
      <c r="H285" t="s">
        <v>1137</v>
      </c>
      <c r="I285" t="s">
        <v>1054</v>
      </c>
      <c r="J285" t="s">
        <v>987</v>
      </c>
      <c r="K285" t="b">
        <v>1</v>
      </c>
      <c r="L285" t="b">
        <v>0</v>
      </c>
      <c r="M285" t="s">
        <v>987</v>
      </c>
      <c r="N285" t="s">
        <v>1029</v>
      </c>
      <c r="O285" t="s">
        <v>990</v>
      </c>
      <c r="P285" t="s">
        <v>1030</v>
      </c>
      <c r="Q285" t="s">
        <v>987</v>
      </c>
    </row>
    <row r="286" spans="1:17" x14ac:dyDescent="0.25">
      <c r="A286" t="s">
        <v>42</v>
      </c>
      <c r="B286" t="s">
        <v>1548</v>
      </c>
      <c r="C286" t="s">
        <v>354</v>
      </c>
      <c r="D286" t="s">
        <v>1010</v>
      </c>
      <c r="E286">
        <v>-177</v>
      </c>
      <c r="F286" t="s">
        <v>1026</v>
      </c>
      <c r="G286" t="s">
        <v>1542</v>
      </c>
      <c r="H286" t="s">
        <v>1137</v>
      </c>
      <c r="I286" t="s">
        <v>1057</v>
      </c>
      <c r="J286" t="s">
        <v>987</v>
      </c>
      <c r="K286" t="b">
        <v>1</v>
      </c>
      <c r="L286" t="b">
        <v>0</v>
      </c>
      <c r="M286" t="s">
        <v>987</v>
      </c>
      <c r="N286" t="s">
        <v>1029</v>
      </c>
      <c r="O286" t="s">
        <v>990</v>
      </c>
      <c r="P286" t="s">
        <v>1030</v>
      </c>
      <c r="Q286" t="s">
        <v>987</v>
      </c>
    </row>
    <row r="287" spans="1:17" x14ac:dyDescent="0.25">
      <c r="A287" t="s">
        <v>42</v>
      </c>
      <c r="B287" t="s">
        <v>1549</v>
      </c>
      <c r="C287" t="s">
        <v>354</v>
      </c>
      <c r="D287" t="s">
        <v>1012</v>
      </c>
      <c r="E287">
        <v>-174</v>
      </c>
      <c r="F287" t="s">
        <v>1026</v>
      </c>
      <c r="G287" t="s">
        <v>1550</v>
      </c>
      <c r="H287" t="s">
        <v>1137</v>
      </c>
      <c r="I287" t="s">
        <v>1060</v>
      </c>
      <c r="J287" t="s">
        <v>987</v>
      </c>
      <c r="K287" t="b">
        <v>1</v>
      </c>
      <c r="L287" t="b">
        <v>0</v>
      </c>
      <c r="M287" t="s">
        <v>987</v>
      </c>
      <c r="N287" t="s">
        <v>1029</v>
      </c>
      <c r="O287" t="s">
        <v>990</v>
      </c>
      <c r="P287" t="s">
        <v>1030</v>
      </c>
      <c r="Q287" t="s">
        <v>987</v>
      </c>
    </row>
    <row r="288" spans="1:17" x14ac:dyDescent="0.25">
      <c r="A288" t="s">
        <v>42</v>
      </c>
      <c r="B288" t="s">
        <v>1551</v>
      </c>
      <c r="C288" t="s">
        <v>354</v>
      </c>
      <c r="D288" t="s">
        <v>1014</v>
      </c>
      <c r="E288">
        <v>-181</v>
      </c>
      <c r="F288" t="s">
        <v>1026</v>
      </c>
      <c r="G288" t="s">
        <v>1539</v>
      </c>
      <c r="H288" t="s">
        <v>1137</v>
      </c>
      <c r="I288" t="s">
        <v>1154</v>
      </c>
      <c r="J288" t="s">
        <v>987</v>
      </c>
      <c r="K288" t="b">
        <v>1</v>
      </c>
      <c r="L288" t="b">
        <v>0</v>
      </c>
      <c r="M288" t="s">
        <v>987</v>
      </c>
      <c r="N288" t="s">
        <v>1029</v>
      </c>
      <c r="O288" t="s">
        <v>990</v>
      </c>
      <c r="P288" t="s">
        <v>1030</v>
      </c>
      <c r="Q288" t="s">
        <v>987</v>
      </c>
    </row>
    <row r="289" spans="1:17" x14ac:dyDescent="0.25">
      <c r="A289" t="s">
        <v>42</v>
      </c>
      <c r="B289" t="s">
        <v>1552</v>
      </c>
      <c r="C289" t="s">
        <v>354</v>
      </c>
      <c r="D289" t="s">
        <v>1016</v>
      </c>
      <c r="E289">
        <v>-179</v>
      </c>
      <c r="F289" t="s">
        <v>1026</v>
      </c>
      <c r="G289" t="s">
        <v>1533</v>
      </c>
      <c r="H289" t="s">
        <v>1137</v>
      </c>
      <c r="I289" t="s">
        <v>1066</v>
      </c>
      <c r="J289" t="s">
        <v>987</v>
      </c>
      <c r="K289" t="b">
        <v>1</v>
      </c>
      <c r="L289" t="b">
        <v>0</v>
      </c>
      <c r="M289" t="s">
        <v>987</v>
      </c>
      <c r="N289" t="s">
        <v>1029</v>
      </c>
      <c r="O289" t="s">
        <v>990</v>
      </c>
      <c r="P289" t="s">
        <v>1030</v>
      </c>
      <c r="Q289" t="s">
        <v>987</v>
      </c>
    </row>
    <row r="290" spans="1:17" x14ac:dyDescent="0.25">
      <c r="A290" t="s">
        <v>42</v>
      </c>
      <c r="B290" t="s">
        <v>1553</v>
      </c>
      <c r="C290" t="s">
        <v>356</v>
      </c>
      <c r="D290" t="s">
        <v>985</v>
      </c>
      <c r="E290">
        <v>1347</v>
      </c>
      <c r="F290" t="s">
        <v>1026</v>
      </c>
      <c r="G290" t="s">
        <v>1554</v>
      </c>
      <c r="H290" t="s">
        <v>1137</v>
      </c>
      <c r="I290" t="s">
        <v>1159</v>
      </c>
      <c r="J290" t="s">
        <v>987</v>
      </c>
      <c r="K290" t="b">
        <v>1</v>
      </c>
      <c r="L290" t="b">
        <v>0</v>
      </c>
      <c r="M290" t="s">
        <v>987</v>
      </c>
      <c r="N290" t="s">
        <v>1029</v>
      </c>
      <c r="O290" t="s">
        <v>990</v>
      </c>
      <c r="P290" t="s">
        <v>1030</v>
      </c>
      <c r="Q290" t="s">
        <v>987</v>
      </c>
    </row>
    <row r="291" spans="1:17" x14ac:dyDescent="0.25">
      <c r="A291" t="s">
        <v>42</v>
      </c>
      <c r="B291" t="s">
        <v>1555</v>
      </c>
      <c r="C291" t="s">
        <v>356</v>
      </c>
      <c r="D291" t="s">
        <v>994</v>
      </c>
      <c r="E291">
        <v>1381</v>
      </c>
      <c r="F291" t="s">
        <v>1026</v>
      </c>
      <c r="G291" t="s">
        <v>1556</v>
      </c>
      <c r="H291" t="s">
        <v>1137</v>
      </c>
      <c r="I291" t="s">
        <v>1034</v>
      </c>
      <c r="J291" t="s">
        <v>987</v>
      </c>
      <c r="K291" t="b">
        <v>1</v>
      </c>
      <c r="L291" t="b">
        <v>0</v>
      </c>
      <c r="M291" t="s">
        <v>987</v>
      </c>
      <c r="N291" t="s">
        <v>1029</v>
      </c>
      <c r="O291" t="s">
        <v>990</v>
      </c>
      <c r="P291" t="s">
        <v>1030</v>
      </c>
      <c r="Q291" t="s">
        <v>987</v>
      </c>
    </row>
    <row r="292" spans="1:17" x14ac:dyDescent="0.25">
      <c r="A292" t="s">
        <v>42</v>
      </c>
      <c r="B292" t="s">
        <v>1557</v>
      </c>
      <c r="C292" t="s">
        <v>356</v>
      </c>
      <c r="D292" t="s">
        <v>996</v>
      </c>
      <c r="E292">
        <v>1414</v>
      </c>
      <c r="F292" t="s">
        <v>1026</v>
      </c>
      <c r="G292" t="s">
        <v>1558</v>
      </c>
      <c r="H292" t="s">
        <v>1137</v>
      </c>
      <c r="I292" t="s">
        <v>1037</v>
      </c>
      <c r="J292" t="s">
        <v>987</v>
      </c>
      <c r="K292" t="b">
        <v>1</v>
      </c>
      <c r="L292" t="b">
        <v>0</v>
      </c>
      <c r="M292" t="s">
        <v>987</v>
      </c>
      <c r="N292" t="s">
        <v>1029</v>
      </c>
      <c r="O292" t="s">
        <v>990</v>
      </c>
      <c r="P292" t="s">
        <v>1030</v>
      </c>
      <c r="Q292" t="s">
        <v>987</v>
      </c>
    </row>
    <row r="293" spans="1:17" x14ac:dyDescent="0.25">
      <c r="A293" t="s">
        <v>42</v>
      </c>
      <c r="B293" t="s">
        <v>1559</v>
      </c>
      <c r="C293" t="s">
        <v>356</v>
      </c>
      <c r="D293" t="s">
        <v>998</v>
      </c>
      <c r="E293">
        <v>1509</v>
      </c>
      <c r="F293" t="s">
        <v>1026</v>
      </c>
      <c r="G293" t="s">
        <v>1560</v>
      </c>
      <c r="H293" t="s">
        <v>1137</v>
      </c>
      <c r="I293" t="s">
        <v>1166</v>
      </c>
      <c r="J293" t="s">
        <v>987</v>
      </c>
      <c r="K293" t="b">
        <v>1</v>
      </c>
      <c r="L293" t="b">
        <v>0</v>
      </c>
      <c r="M293" t="s">
        <v>987</v>
      </c>
      <c r="N293" t="s">
        <v>1029</v>
      </c>
      <c r="O293" t="s">
        <v>990</v>
      </c>
      <c r="P293" t="s">
        <v>1030</v>
      </c>
      <c r="Q293" t="s">
        <v>987</v>
      </c>
    </row>
    <row r="294" spans="1:17" x14ac:dyDescent="0.25">
      <c r="A294" t="s">
        <v>42</v>
      </c>
      <c r="B294" t="s">
        <v>1561</v>
      </c>
      <c r="C294" t="s">
        <v>356</v>
      </c>
      <c r="D294" t="s">
        <v>1000</v>
      </c>
      <c r="E294">
        <v>1490</v>
      </c>
      <c r="F294" t="s">
        <v>1026</v>
      </c>
      <c r="G294" t="s">
        <v>1562</v>
      </c>
      <c r="H294" t="s">
        <v>1137</v>
      </c>
      <c r="I294" t="s">
        <v>1028</v>
      </c>
      <c r="J294" t="s">
        <v>987</v>
      </c>
      <c r="K294" t="b">
        <v>1</v>
      </c>
      <c r="L294" t="b">
        <v>0</v>
      </c>
      <c r="M294" t="s">
        <v>987</v>
      </c>
      <c r="N294" t="s">
        <v>1029</v>
      </c>
      <c r="O294" t="s">
        <v>990</v>
      </c>
      <c r="P294" t="s">
        <v>1030</v>
      </c>
      <c r="Q294" t="s">
        <v>987</v>
      </c>
    </row>
    <row r="295" spans="1:17" x14ac:dyDescent="0.25">
      <c r="A295" t="s">
        <v>42</v>
      </c>
      <c r="B295" t="s">
        <v>1563</v>
      </c>
      <c r="C295" t="s">
        <v>356</v>
      </c>
      <c r="D295" t="s">
        <v>1002</v>
      </c>
      <c r="E295">
        <v>1581</v>
      </c>
      <c r="F295" t="s">
        <v>1026</v>
      </c>
      <c r="G295" t="s">
        <v>1564</v>
      </c>
      <c r="H295" t="s">
        <v>1137</v>
      </c>
      <c r="I295" t="s">
        <v>1045</v>
      </c>
      <c r="J295" t="s">
        <v>987</v>
      </c>
      <c r="K295" t="b">
        <v>1</v>
      </c>
      <c r="L295" t="b">
        <v>0</v>
      </c>
      <c r="M295" t="s">
        <v>987</v>
      </c>
      <c r="N295" t="s">
        <v>1029</v>
      </c>
      <c r="O295" t="s">
        <v>990</v>
      </c>
      <c r="P295" t="s">
        <v>1030</v>
      </c>
      <c r="Q295" t="s">
        <v>987</v>
      </c>
    </row>
    <row r="296" spans="1:17" x14ac:dyDescent="0.25">
      <c r="A296" t="s">
        <v>42</v>
      </c>
      <c r="B296" t="s">
        <v>1565</v>
      </c>
      <c r="C296" t="s">
        <v>356</v>
      </c>
      <c r="D296" t="s">
        <v>1004</v>
      </c>
      <c r="E296">
        <v>1592</v>
      </c>
      <c r="F296" t="s">
        <v>1026</v>
      </c>
      <c r="G296" t="s">
        <v>1566</v>
      </c>
      <c r="H296" t="s">
        <v>1137</v>
      </c>
      <c r="I296" t="s">
        <v>1048</v>
      </c>
      <c r="J296" t="s">
        <v>987</v>
      </c>
      <c r="K296" t="b">
        <v>1</v>
      </c>
      <c r="L296" t="b">
        <v>0</v>
      </c>
      <c r="M296" t="s">
        <v>987</v>
      </c>
      <c r="N296" t="s">
        <v>1029</v>
      </c>
      <c r="O296" t="s">
        <v>990</v>
      </c>
      <c r="P296" t="s">
        <v>1030</v>
      </c>
      <c r="Q296" t="s">
        <v>987</v>
      </c>
    </row>
    <row r="297" spans="1:17" x14ac:dyDescent="0.25">
      <c r="A297" t="s">
        <v>42</v>
      </c>
      <c r="B297" t="s">
        <v>1567</v>
      </c>
      <c r="C297" t="s">
        <v>356</v>
      </c>
      <c r="D297" t="s">
        <v>1006</v>
      </c>
      <c r="E297">
        <v>1649</v>
      </c>
      <c r="F297" t="s">
        <v>1026</v>
      </c>
      <c r="G297" t="s">
        <v>1568</v>
      </c>
      <c r="H297" t="s">
        <v>1137</v>
      </c>
      <c r="I297" t="s">
        <v>1154</v>
      </c>
      <c r="J297" t="s">
        <v>987</v>
      </c>
      <c r="K297" t="b">
        <v>1</v>
      </c>
      <c r="L297" t="b">
        <v>0</v>
      </c>
      <c r="M297" t="s">
        <v>987</v>
      </c>
      <c r="N297" t="s">
        <v>1029</v>
      </c>
      <c r="O297" t="s">
        <v>990</v>
      </c>
      <c r="P297" t="s">
        <v>1030</v>
      </c>
      <c r="Q297" t="s">
        <v>987</v>
      </c>
    </row>
    <row r="298" spans="1:17" x14ac:dyDescent="0.25">
      <c r="A298" t="s">
        <v>42</v>
      </c>
      <c r="B298" t="s">
        <v>1569</v>
      </c>
      <c r="C298" t="s">
        <v>356</v>
      </c>
      <c r="D298" t="s">
        <v>1008</v>
      </c>
      <c r="E298">
        <v>1696</v>
      </c>
      <c r="F298" t="s">
        <v>1026</v>
      </c>
      <c r="G298" t="s">
        <v>1570</v>
      </c>
      <c r="H298" t="s">
        <v>1137</v>
      </c>
      <c r="I298" t="s">
        <v>1054</v>
      </c>
      <c r="J298" t="s">
        <v>987</v>
      </c>
      <c r="K298" t="b">
        <v>1</v>
      </c>
      <c r="L298" t="b">
        <v>0</v>
      </c>
      <c r="M298" t="s">
        <v>987</v>
      </c>
      <c r="N298" t="s">
        <v>1029</v>
      </c>
      <c r="O298" t="s">
        <v>990</v>
      </c>
      <c r="P298" t="s">
        <v>1030</v>
      </c>
      <c r="Q298" t="s">
        <v>987</v>
      </c>
    </row>
    <row r="299" spans="1:17" x14ac:dyDescent="0.25">
      <c r="A299" t="s">
        <v>42</v>
      </c>
      <c r="B299" t="s">
        <v>1571</v>
      </c>
      <c r="C299" t="s">
        <v>356</v>
      </c>
      <c r="D299" t="s">
        <v>1010</v>
      </c>
      <c r="E299">
        <v>1727</v>
      </c>
      <c r="F299" t="s">
        <v>1026</v>
      </c>
      <c r="G299" t="s">
        <v>1572</v>
      </c>
      <c r="H299" t="s">
        <v>1137</v>
      </c>
      <c r="I299" t="s">
        <v>1057</v>
      </c>
      <c r="J299" t="s">
        <v>987</v>
      </c>
      <c r="K299" t="b">
        <v>1</v>
      </c>
      <c r="L299" t="b">
        <v>0</v>
      </c>
      <c r="M299" t="s">
        <v>987</v>
      </c>
      <c r="N299" t="s">
        <v>1029</v>
      </c>
      <c r="O299" t="s">
        <v>990</v>
      </c>
      <c r="P299" t="s">
        <v>1030</v>
      </c>
      <c r="Q299" t="s">
        <v>987</v>
      </c>
    </row>
    <row r="300" spans="1:17" x14ac:dyDescent="0.25">
      <c r="A300" t="s">
        <v>42</v>
      </c>
      <c r="B300" t="s">
        <v>1573</v>
      </c>
      <c r="C300" t="s">
        <v>356</v>
      </c>
      <c r="D300" t="s">
        <v>1012</v>
      </c>
      <c r="E300">
        <v>1769</v>
      </c>
      <c r="F300" t="s">
        <v>1026</v>
      </c>
      <c r="G300" t="s">
        <v>1574</v>
      </c>
      <c r="H300" t="s">
        <v>1137</v>
      </c>
      <c r="I300" t="s">
        <v>1060</v>
      </c>
      <c r="J300" t="s">
        <v>987</v>
      </c>
      <c r="K300" t="b">
        <v>1</v>
      </c>
      <c r="L300" t="b">
        <v>0</v>
      </c>
      <c r="M300" t="s">
        <v>987</v>
      </c>
      <c r="N300" t="s">
        <v>1029</v>
      </c>
      <c r="O300" t="s">
        <v>990</v>
      </c>
      <c r="P300" t="s">
        <v>1030</v>
      </c>
      <c r="Q300" t="s">
        <v>987</v>
      </c>
    </row>
    <row r="301" spans="1:17" x14ac:dyDescent="0.25">
      <c r="A301" t="s">
        <v>42</v>
      </c>
      <c r="B301" t="s">
        <v>1575</v>
      </c>
      <c r="C301" t="s">
        <v>356</v>
      </c>
      <c r="D301" t="s">
        <v>1014</v>
      </c>
      <c r="E301">
        <v>1797</v>
      </c>
      <c r="F301" t="s">
        <v>1026</v>
      </c>
      <c r="G301" t="s">
        <v>1576</v>
      </c>
      <c r="H301" t="s">
        <v>1137</v>
      </c>
      <c r="I301" t="s">
        <v>1154</v>
      </c>
      <c r="J301" t="s">
        <v>987</v>
      </c>
      <c r="K301" t="b">
        <v>1</v>
      </c>
      <c r="L301" t="b">
        <v>0</v>
      </c>
      <c r="M301" t="s">
        <v>987</v>
      </c>
      <c r="N301" t="s">
        <v>1029</v>
      </c>
      <c r="O301" t="s">
        <v>990</v>
      </c>
      <c r="P301" t="s">
        <v>1030</v>
      </c>
      <c r="Q301" t="s">
        <v>987</v>
      </c>
    </row>
    <row r="302" spans="1:17" x14ac:dyDescent="0.25">
      <c r="A302" t="s">
        <v>42</v>
      </c>
      <c r="B302" t="s">
        <v>1577</v>
      </c>
      <c r="C302" t="s">
        <v>356</v>
      </c>
      <c r="D302" t="s">
        <v>1016</v>
      </c>
      <c r="E302">
        <v>1899</v>
      </c>
      <c r="F302" t="s">
        <v>1026</v>
      </c>
      <c r="G302" t="s">
        <v>1578</v>
      </c>
      <c r="H302" t="s">
        <v>1137</v>
      </c>
      <c r="I302" t="s">
        <v>1066</v>
      </c>
      <c r="J302" t="s">
        <v>987</v>
      </c>
      <c r="K302" t="b">
        <v>1</v>
      </c>
      <c r="L302" t="b">
        <v>0</v>
      </c>
      <c r="M302" t="s">
        <v>987</v>
      </c>
      <c r="N302" t="s">
        <v>1029</v>
      </c>
      <c r="O302" t="s">
        <v>990</v>
      </c>
      <c r="P302" t="s">
        <v>1030</v>
      </c>
      <c r="Q302" t="s">
        <v>987</v>
      </c>
    </row>
    <row r="303" spans="1:17" x14ac:dyDescent="0.25">
      <c r="A303" t="s">
        <v>42</v>
      </c>
      <c r="B303" t="s">
        <v>1579</v>
      </c>
      <c r="C303" t="s">
        <v>405</v>
      </c>
      <c r="D303" t="s">
        <v>985</v>
      </c>
      <c r="E303">
        <v>14</v>
      </c>
      <c r="F303" t="s">
        <v>1026</v>
      </c>
      <c r="G303" t="s">
        <v>1580</v>
      </c>
      <c r="H303" t="s">
        <v>1581</v>
      </c>
      <c r="I303" t="s">
        <v>1028</v>
      </c>
      <c r="J303" t="s">
        <v>987</v>
      </c>
      <c r="K303" t="b">
        <v>1</v>
      </c>
      <c r="L303" t="b">
        <v>0</v>
      </c>
      <c r="M303" t="s">
        <v>987</v>
      </c>
      <c r="N303" t="s">
        <v>1029</v>
      </c>
      <c r="O303" t="s">
        <v>990</v>
      </c>
      <c r="P303" t="s">
        <v>1030</v>
      </c>
      <c r="Q303" t="s">
        <v>987</v>
      </c>
    </row>
    <row r="304" spans="1:17" x14ac:dyDescent="0.25">
      <c r="A304" t="s">
        <v>42</v>
      </c>
      <c r="B304" t="s">
        <v>1582</v>
      </c>
      <c r="C304" t="s">
        <v>405</v>
      </c>
      <c r="D304" t="s">
        <v>994</v>
      </c>
      <c r="E304">
        <v>38</v>
      </c>
      <c r="F304" t="s">
        <v>1018</v>
      </c>
      <c r="G304" t="s">
        <v>1583</v>
      </c>
      <c r="H304" t="s">
        <v>1581</v>
      </c>
      <c r="I304" t="s">
        <v>987</v>
      </c>
      <c r="J304" t="s">
        <v>987</v>
      </c>
      <c r="K304" t="b">
        <v>0</v>
      </c>
      <c r="L304" t="b">
        <v>1</v>
      </c>
      <c r="M304" t="s">
        <v>1020</v>
      </c>
      <c r="N304" t="s">
        <v>989</v>
      </c>
      <c r="O304" t="s">
        <v>1021</v>
      </c>
      <c r="P304" t="s">
        <v>1022</v>
      </c>
      <c r="Q304" t="s">
        <v>1023</v>
      </c>
    </row>
    <row r="305" spans="1:17" x14ac:dyDescent="0.25">
      <c r="A305" t="s">
        <v>42</v>
      </c>
      <c r="B305" t="s">
        <v>1584</v>
      </c>
      <c r="C305" t="s">
        <v>405</v>
      </c>
      <c r="D305" t="s">
        <v>996</v>
      </c>
      <c r="E305">
        <v>17</v>
      </c>
      <c r="F305" t="s">
        <v>1018</v>
      </c>
      <c r="G305" t="s">
        <v>1583</v>
      </c>
      <c r="H305" t="s">
        <v>1581</v>
      </c>
      <c r="I305" t="s">
        <v>987</v>
      </c>
      <c r="J305" t="s">
        <v>987</v>
      </c>
      <c r="K305" t="b">
        <v>0</v>
      </c>
      <c r="L305" t="b">
        <v>1</v>
      </c>
      <c r="M305" t="s">
        <v>1020</v>
      </c>
      <c r="N305" t="s">
        <v>989</v>
      </c>
      <c r="O305" t="s">
        <v>1021</v>
      </c>
      <c r="P305" t="s">
        <v>1022</v>
      </c>
      <c r="Q305" t="s">
        <v>1023</v>
      </c>
    </row>
    <row r="306" spans="1:17" x14ac:dyDescent="0.25">
      <c r="A306" t="s">
        <v>42</v>
      </c>
      <c r="B306" t="s">
        <v>1585</v>
      </c>
      <c r="C306" t="s">
        <v>405</v>
      </c>
      <c r="D306" t="s">
        <v>998</v>
      </c>
      <c r="E306">
        <v>18</v>
      </c>
      <c r="F306" t="s">
        <v>1026</v>
      </c>
      <c r="G306" t="s">
        <v>1586</v>
      </c>
      <c r="H306" t="s">
        <v>1581</v>
      </c>
      <c r="I306" t="s">
        <v>987</v>
      </c>
      <c r="J306" t="s">
        <v>987</v>
      </c>
      <c r="K306" t="b">
        <v>1</v>
      </c>
      <c r="L306" t="b">
        <v>0</v>
      </c>
      <c r="M306" t="s">
        <v>987</v>
      </c>
      <c r="N306" t="s">
        <v>1029</v>
      </c>
      <c r="O306" t="s">
        <v>990</v>
      </c>
      <c r="P306" t="s">
        <v>1030</v>
      </c>
      <c r="Q306" t="s">
        <v>1587</v>
      </c>
    </row>
    <row r="307" spans="1:17" x14ac:dyDescent="0.25">
      <c r="A307" t="s">
        <v>42</v>
      </c>
      <c r="B307" t="s">
        <v>1588</v>
      </c>
      <c r="C307" t="s">
        <v>405</v>
      </c>
      <c r="D307" t="s">
        <v>1000</v>
      </c>
      <c r="E307">
        <v>17</v>
      </c>
      <c r="F307" t="s">
        <v>1026</v>
      </c>
      <c r="G307" t="s">
        <v>1589</v>
      </c>
      <c r="H307" t="s">
        <v>1581</v>
      </c>
      <c r="I307" t="s">
        <v>1054</v>
      </c>
      <c r="J307" t="s">
        <v>987</v>
      </c>
      <c r="K307" t="b">
        <v>1</v>
      </c>
      <c r="L307" t="b">
        <v>0</v>
      </c>
      <c r="M307" t="s">
        <v>987</v>
      </c>
      <c r="N307" t="s">
        <v>1029</v>
      </c>
      <c r="O307" t="s">
        <v>990</v>
      </c>
      <c r="P307" t="s">
        <v>1030</v>
      </c>
      <c r="Q307" t="s">
        <v>987</v>
      </c>
    </row>
    <row r="308" spans="1:17" x14ac:dyDescent="0.25">
      <c r="A308" t="s">
        <v>42</v>
      </c>
      <c r="B308" t="s">
        <v>1590</v>
      </c>
      <c r="C308" t="s">
        <v>405</v>
      </c>
      <c r="D308" t="s">
        <v>1002</v>
      </c>
      <c r="E308">
        <v>9</v>
      </c>
      <c r="F308" t="s">
        <v>1018</v>
      </c>
      <c r="G308" t="s">
        <v>1583</v>
      </c>
      <c r="H308" t="s">
        <v>1581</v>
      </c>
      <c r="I308" t="s">
        <v>987</v>
      </c>
      <c r="J308" t="s">
        <v>987</v>
      </c>
      <c r="K308" t="b">
        <v>0</v>
      </c>
      <c r="L308" t="b">
        <v>1</v>
      </c>
      <c r="M308" t="s">
        <v>1020</v>
      </c>
      <c r="N308" t="s">
        <v>989</v>
      </c>
      <c r="O308" t="s">
        <v>1021</v>
      </c>
      <c r="P308" t="s">
        <v>1022</v>
      </c>
      <c r="Q308" t="s">
        <v>1023</v>
      </c>
    </row>
    <row r="309" spans="1:17" x14ac:dyDescent="0.25">
      <c r="A309" t="s">
        <v>42</v>
      </c>
      <c r="B309" t="s">
        <v>1591</v>
      </c>
      <c r="C309" t="s">
        <v>405</v>
      </c>
      <c r="D309" t="s">
        <v>1004</v>
      </c>
      <c r="E309">
        <v>16</v>
      </c>
      <c r="F309" t="s">
        <v>1026</v>
      </c>
      <c r="G309" t="s">
        <v>1592</v>
      </c>
      <c r="H309" t="s">
        <v>1581</v>
      </c>
      <c r="I309" t="s">
        <v>1060</v>
      </c>
      <c r="J309" t="s">
        <v>987</v>
      </c>
      <c r="K309" t="b">
        <v>1</v>
      </c>
      <c r="L309" t="b">
        <v>0</v>
      </c>
      <c r="M309" t="s">
        <v>987</v>
      </c>
      <c r="N309" t="s">
        <v>1029</v>
      </c>
      <c r="O309" t="s">
        <v>990</v>
      </c>
      <c r="P309" t="s">
        <v>1030</v>
      </c>
      <c r="Q309" t="s">
        <v>1593</v>
      </c>
    </row>
    <row r="310" spans="1:17" x14ac:dyDescent="0.25">
      <c r="A310" t="s">
        <v>42</v>
      </c>
      <c r="B310" t="s">
        <v>1594</v>
      </c>
      <c r="C310" t="s">
        <v>405</v>
      </c>
      <c r="D310" t="s">
        <v>1006</v>
      </c>
      <c r="E310">
        <v>23</v>
      </c>
      <c r="F310" t="s">
        <v>1018</v>
      </c>
      <c r="G310" t="s">
        <v>1583</v>
      </c>
      <c r="H310" t="s">
        <v>1581</v>
      </c>
      <c r="I310" t="s">
        <v>987</v>
      </c>
      <c r="J310" t="s">
        <v>987</v>
      </c>
      <c r="K310" t="b">
        <v>0</v>
      </c>
      <c r="L310" t="b">
        <v>1</v>
      </c>
      <c r="M310" t="s">
        <v>1020</v>
      </c>
      <c r="N310" t="s">
        <v>989</v>
      </c>
      <c r="O310" t="s">
        <v>1021</v>
      </c>
      <c r="P310" t="s">
        <v>1022</v>
      </c>
      <c r="Q310" t="s">
        <v>1023</v>
      </c>
    </row>
    <row r="311" spans="1:17" x14ac:dyDescent="0.25">
      <c r="A311" t="s">
        <v>42</v>
      </c>
      <c r="B311" t="s">
        <v>1595</v>
      </c>
      <c r="C311" t="s">
        <v>405</v>
      </c>
      <c r="D311" t="s">
        <v>1008</v>
      </c>
      <c r="E311">
        <v>21</v>
      </c>
      <c r="F311" t="s">
        <v>1026</v>
      </c>
      <c r="G311" t="s">
        <v>1596</v>
      </c>
      <c r="H311" t="s">
        <v>1581</v>
      </c>
      <c r="I311" t="s">
        <v>1066</v>
      </c>
      <c r="J311" t="s">
        <v>987</v>
      </c>
      <c r="K311" t="b">
        <v>1</v>
      </c>
      <c r="L311" t="b">
        <v>0</v>
      </c>
      <c r="M311" t="s">
        <v>987</v>
      </c>
      <c r="N311" t="s">
        <v>1029</v>
      </c>
      <c r="O311" t="s">
        <v>990</v>
      </c>
      <c r="P311" t="s">
        <v>1030</v>
      </c>
      <c r="Q311" t="s">
        <v>987</v>
      </c>
    </row>
    <row r="312" spans="1:17" x14ac:dyDescent="0.25">
      <c r="A312" t="s">
        <v>42</v>
      </c>
      <c r="B312" t="s">
        <v>1597</v>
      </c>
      <c r="C312" t="s">
        <v>405</v>
      </c>
      <c r="D312" t="s">
        <v>1010</v>
      </c>
      <c r="E312">
        <v>20</v>
      </c>
      <c r="F312" t="s">
        <v>1026</v>
      </c>
      <c r="G312" t="s">
        <v>1598</v>
      </c>
      <c r="H312" t="s">
        <v>1581</v>
      </c>
      <c r="I312" t="s">
        <v>1057</v>
      </c>
      <c r="J312" t="s">
        <v>987</v>
      </c>
      <c r="K312" t="b">
        <v>1</v>
      </c>
      <c r="L312" t="b">
        <v>0</v>
      </c>
      <c r="M312" t="s">
        <v>987</v>
      </c>
      <c r="N312" t="s">
        <v>1029</v>
      </c>
      <c r="O312" t="s">
        <v>990</v>
      </c>
      <c r="P312" t="s">
        <v>1030</v>
      </c>
      <c r="Q312" t="s">
        <v>1599</v>
      </c>
    </row>
    <row r="313" spans="1:17" x14ac:dyDescent="0.25">
      <c r="A313" t="s">
        <v>42</v>
      </c>
      <c r="B313" t="s">
        <v>1600</v>
      </c>
      <c r="C313" t="s">
        <v>405</v>
      </c>
      <c r="D313" t="s">
        <v>1012</v>
      </c>
      <c r="E313">
        <v>38</v>
      </c>
      <c r="F313" t="s">
        <v>1026</v>
      </c>
      <c r="G313" t="s">
        <v>1601</v>
      </c>
      <c r="H313" t="s">
        <v>1581</v>
      </c>
      <c r="I313" t="s">
        <v>1060</v>
      </c>
      <c r="J313" t="s">
        <v>987</v>
      </c>
      <c r="K313" t="b">
        <v>1</v>
      </c>
      <c r="L313" t="b">
        <v>0</v>
      </c>
      <c r="M313" t="s">
        <v>987</v>
      </c>
      <c r="N313" t="s">
        <v>1029</v>
      </c>
      <c r="O313" t="s">
        <v>990</v>
      </c>
      <c r="P313" t="s">
        <v>1030</v>
      </c>
      <c r="Q313" t="s">
        <v>1602</v>
      </c>
    </row>
    <row r="314" spans="1:17" x14ac:dyDescent="0.25">
      <c r="A314" t="s">
        <v>42</v>
      </c>
      <c r="B314" t="s">
        <v>1603</v>
      </c>
      <c r="C314" t="s">
        <v>405</v>
      </c>
      <c r="D314" t="s">
        <v>1014</v>
      </c>
      <c r="E314">
        <v>-9</v>
      </c>
      <c r="F314" t="s">
        <v>1018</v>
      </c>
      <c r="G314" t="s">
        <v>1583</v>
      </c>
      <c r="H314" t="s">
        <v>1581</v>
      </c>
      <c r="I314" t="s">
        <v>987</v>
      </c>
      <c r="J314" t="s">
        <v>987</v>
      </c>
      <c r="K314" t="b">
        <v>0</v>
      </c>
      <c r="L314" t="b">
        <v>1</v>
      </c>
      <c r="M314" t="s">
        <v>1020</v>
      </c>
      <c r="N314" t="s">
        <v>989</v>
      </c>
      <c r="O314" t="s">
        <v>1021</v>
      </c>
      <c r="P314" t="s">
        <v>1022</v>
      </c>
      <c r="Q314" t="s">
        <v>1023</v>
      </c>
    </row>
    <row r="315" spans="1:17" x14ac:dyDescent="0.25">
      <c r="A315" t="s">
        <v>42</v>
      </c>
      <c r="B315" t="s">
        <v>1604</v>
      </c>
      <c r="C315" t="s">
        <v>405</v>
      </c>
      <c r="D315" t="s">
        <v>1016</v>
      </c>
      <c r="E315">
        <v>25</v>
      </c>
      <c r="F315" t="s">
        <v>1026</v>
      </c>
      <c r="G315" t="s">
        <v>1605</v>
      </c>
      <c r="H315" t="s">
        <v>1581</v>
      </c>
      <c r="I315" t="s">
        <v>1066</v>
      </c>
      <c r="J315" t="s">
        <v>987</v>
      </c>
      <c r="K315" t="b">
        <v>1</v>
      </c>
      <c r="L315" t="b">
        <v>0</v>
      </c>
      <c r="M315" t="s">
        <v>987</v>
      </c>
      <c r="N315" t="s">
        <v>1029</v>
      </c>
      <c r="O315" t="s">
        <v>990</v>
      </c>
      <c r="P315" t="s">
        <v>1030</v>
      </c>
      <c r="Q315" t="s">
        <v>987</v>
      </c>
    </row>
    <row r="316" spans="1:17" x14ac:dyDescent="0.25">
      <c r="A316" t="s">
        <v>42</v>
      </c>
      <c r="B316" t="s">
        <v>1606</v>
      </c>
      <c r="C316" t="s">
        <v>405</v>
      </c>
      <c r="D316" t="s">
        <v>1115</v>
      </c>
      <c r="E316">
        <v>61</v>
      </c>
      <c r="F316" t="s">
        <v>1018</v>
      </c>
      <c r="G316" t="s">
        <v>1583</v>
      </c>
      <c r="H316" t="s">
        <v>1581</v>
      </c>
      <c r="I316" t="s">
        <v>987</v>
      </c>
      <c r="J316" t="s">
        <v>987</v>
      </c>
      <c r="K316" t="b">
        <v>0</v>
      </c>
      <c r="L316" t="b">
        <v>1</v>
      </c>
      <c r="M316" t="s">
        <v>1020</v>
      </c>
      <c r="N316" t="s">
        <v>989</v>
      </c>
      <c r="O316" t="s">
        <v>1021</v>
      </c>
      <c r="P316" t="s">
        <v>1022</v>
      </c>
      <c r="Q316" t="s">
        <v>1023</v>
      </c>
    </row>
    <row r="317" spans="1:17" x14ac:dyDescent="0.25">
      <c r="A317" t="s">
        <v>42</v>
      </c>
      <c r="B317" t="s">
        <v>1607</v>
      </c>
      <c r="C317" t="s">
        <v>403</v>
      </c>
      <c r="D317" t="s">
        <v>985</v>
      </c>
      <c r="E317">
        <v>0</v>
      </c>
      <c r="F317" t="s">
        <v>1018</v>
      </c>
      <c r="G317" t="s">
        <v>987</v>
      </c>
      <c r="H317" t="s">
        <v>1581</v>
      </c>
      <c r="I317" t="s">
        <v>987</v>
      </c>
      <c r="J317" t="s">
        <v>987</v>
      </c>
      <c r="K317" t="b">
        <v>0</v>
      </c>
      <c r="L317" t="b">
        <v>1</v>
      </c>
      <c r="M317" t="s">
        <v>1020</v>
      </c>
      <c r="N317" t="s">
        <v>989</v>
      </c>
      <c r="O317" t="s">
        <v>1021</v>
      </c>
      <c r="P317" t="s">
        <v>1022</v>
      </c>
      <c r="Q317" t="s">
        <v>1023</v>
      </c>
    </row>
    <row r="318" spans="1:17" x14ac:dyDescent="0.25">
      <c r="A318" t="s">
        <v>42</v>
      </c>
      <c r="B318" t="s">
        <v>1608</v>
      </c>
      <c r="C318" t="s">
        <v>403</v>
      </c>
      <c r="D318" t="s">
        <v>994</v>
      </c>
      <c r="E318">
        <v>5405</v>
      </c>
      <c r="F318" t="s">
        <v>1018</v>
      </c>
      <c r="G318" t="s">
        <v>987</v>
      </c>
      <c r="H318" t="s">
        <v>1581</v>
      </c>
      <c r="I318" t="s">
        <v>987</v>
      </c>
      <c r="J318" t="s">
        <v>987</v>
      </c>
      <c r="K318" t="b">
        <v>0</v>
      </c>
      <c r="L318" t="b">
        <v>1</v>
      </c>
      <c r="M318" t="s">
        <v>1020</v>
      </c>
      <c r="N318" t="s">
        <v>989</v>
      </c>
      <c r="O318" t="s">
        <v>1021</v>
      </c>
      <c r="P318" t="s">
        <v>1022</v>
      </c>
      <c r="Q318" t="s">
        <v>1023</v>
      </c>
    </row>
    <row r="319" spans="1:17" x14ac:dyDescent="0.25">
      <c r="A319" t="s">
        <v>42</v>
      </c>
      <c r="B319" t="s">
        <v>1609</v>
      </c>
      <c r="C319" t="s">
        <v>403</v>
      </c>
      <c r="D319" t="s">
        <v>996</v>
      </c>
      <c r="E319">
        <v>5517</v>
      </c>
      <c r="F319" t="s">
        <v>1018</v>
      </c>
      <c r="G319" t="s">
        <v>987</v>
      </c>
      <c r="H319" t="s">
        <v>1581</v>
      </c>
      <c r="I319" t="s">
        <v>987</v>
      </c>
      <c r="J319" t="s">
        <v>987</v>
      </c>
      <c r="K319" t="b">
        <v>0</v>
      </c>
      <c r="L319" t="b">
        <v>1</v>
      </c>
      <c r="M319" t="s">
        <v>1020</v>
      </c>
      <c r="N319" t="s">
        <v>989</v>
      </c>
      <c r="O319" t="s">
        <v>1021</v>
      </c>
      <c r="P319" t="s">
        <v>1022</v>
      </c>
      <c r="Q319" t="s">
        <v>1023</v>
      </c>
    </row>
    <row r="320" spans="1:17" x14ac:dyDescent="0.25">
      <c r="A320" t="s">
        <v>42</v>
      </c>
      <c r="B320" t="s">
        <v>1610</v>
      </c>
      <c r="C320" t="s">
        <v>403</v>
      </c>
      <c r="D320" t="s">
        <v>998</v>
      </c>
      <c r="E320">
        <v>5156</v>
      </c>
      <c r="F320" t="s">
        <v>1018</v>
      </c>
      <c r="G320" t="s">
        <v>987</v>
      </c>
      <c r="H320" t="s">
        <v>1581</v>
      </c>
      <c r="I320" t="s">
        <v>987</v>
      </c>
      <c r="J320" t="s">
        <v>987</v>
      </c>
      <c r="K320" t="b">
        <v>0</v>
      </c>
      <c r="L320" t="b">
        <v>1</v>
      </c>
      <c r="M320" t="s">
        <v>1020</v>
      </c>
      <c r="N320" t="s">
        <v>989</v>
      </c>
      <c r="O320" t="s">
        <v>1021</v>
      </c>
      <c r="P320" t="s">
        <v>1022</v>
      </c>
      <c r="Q320" t="s">
        <v>1023</v>
      </c>
    </row>
    <row r="321" spans="1:17" x14ac:dyDescent="0.25">
      <c r="A321" t="s">
        <v>42</v>
      </c>
      <c r="B321" t="s">
        <v>1611</v>
      </c>
      <c r="C321" t="s">
        <v>403</v>
      </c>
      <c r="D321" t="s">
        <v>1000</v>
      </c>
      <c r="E321">
        <v>3452</v>
      </c>
      <c r="F321" t="s">
        <v>1018</v>
      </c>
      <c r="G321" t="s">
        <v>987</v>
      </c>
      <c r="H321" t="s">
        <v>1581</v>
      </c>
      <c r="I321" t="s">
        <v>987</v>
      </c>
      <c r="J321" t="s">
        <v>987</v>
      </c>
      <c r="K321" t="b">
        <v>0</v>
      </c>
      <c r="L321" t="b">
        <v>1</v>
      </c>
      <c r="M321" t="s">
        <v>1020</v>
      </c>
      <c r="N321" t="s">
        <v>989</v>
      </c>
      <c r="O321" t="s">
        <v>1021</v>
      </c>
      <c r="P321" t="s">
        <v>1022</v>
      </c>
      <c r="Q321" t="s">
        <v>1023</v>
      </c>
    </row>
    <row r="322" spans="1:17" x14ac:dyDescent="0.25">
      <c r="A322" t="s">
        <v>42</v>
      </c>
      <c r="B322" t="s">
        <v>1612</v>
      </c>
      <c r="C322" t="s">
        <v>403</v>
      </c>
      <c r="D322" t="s">
        <v>1002</v>
      </c>
      <c r="E322">
        <v>3095</v>
      </c>
      <c r="F322" t="s">
        <v>1018</v>
      </c>
      <c r="G322" t="s">
        <v>987</v>
      </c>
      <c r="H322" t="s">
        <v>1581</v>
      </c>
      <c r="I322" t="s">
        <v>987</v>
      </c>
      <c r="J322" t="s">
        <v>987</v>
      </c>
      <c r="K322" t="b">
        <v>0</v>
      </c>
      <c r="L322" t="b">
        <v>1</v>
      </c>
      <c r="M322" t="s">
        <v>1020</v>
      </c>
      <c r="N322" t="s">
        <v>989</v>
      </c>
      <c r="O322" t="s">
        <v>1021</v>
      </c>
      <c r="P322" t="s">
        <v>1022</v>
      </c>
      <c r="Q322" t="s">
        <v>1023</v>
      </c>
    </row>
    <row r="323" spans="1:17" x14ac:dyDescent="0.25">
      <c r="A323" t="s">
        <v>42</v>
      </c>
      <c r="B323" t="s">
        <v>1613</v>
      </c>
      <c r="C323" t="s">
        <v>403</v>
      </c>
      <c r="D323" t="s">
        <v>1004</v>
      </c>
      <c r="E323">
        <v>2439</v>
      </c>
      <c r="F323" t="s">
        <v>1018</v>
      </c>
      <c r="G323" t="s">
        <v>987</v>
      </c>
      <c r="H323" t="s">
        <v>1581</v>
      </c>
      <c r="I323" t="s">
        <v>987</v>
      </c>
      <c r="J323" t="s">
        <v>987</v>
      </c>
      <c r="K323" t="b">
        <v>0</v>
      </c>
      <c r="L323" t="b">
        <v>1</v>
      </c>
      <c r="M323" t="s">
        <v>1020</v>
      </c>
      <c r="N323" t="s">
        <v>989</v>
      </c>
      <c r="O323" t="s">
        <v>1021</v>
      </c>
      <c r="P323" t="s">
        <v>1022</v>
      </c>
      <c r="Q323" t="s">
        <v>1023</v>
      </c>
    </row>
    <row r="324" spans="1:17" x14ac:dyDescent="0.25">
      <c r="A324" t="s">
        <v>42</v>
      </c>
      <c r="B324" t="s">
        <v>1614</v>
      </c>
      <c r="C324" t="s">
        <v>403</v>
      </c>
      <c r="D324" t="s">
        <v>1006</v>
      </c>
      <c r="E324">
        <v>2238</v>
      </c>
      <c r="F324" t="s">
        <v>1018</v>
      </c>
      <c r="G324" t="s">
        <v>987</v>
      </c>
      <c r="H324" t="s">
        <v>1581</v>
      </c>
      <c r="I324" t="s">
        <v>987</v>
      </c>
      <c r="J324" t="s">
        <v>987</v>
      </c>
      <c r="K324" t="b">
        <v>0</v>
      </c>
      <c r="L324" t="b">
        <v>1</v>
      </c>
      <c r="M324" t="s">
        <v>1020</v>
      </c>
      <c r="N324" t="s">
        <v>989</v>
      </c>
      <c r="O324" t="s">
        <v>1021</v>
      </c>
      <c r="P324" t="s">
        <v>1022</v>
      </c>
      <c r="Q324" t="s">
        <v>1023</v>
      </c>
    </row>
    <row r="325" spans="1:17" x14ac:dyDescent="0.25">
      <c r="A325" t="s">
        <v>42</v>
      </c>
      <c r="B325" t="s">
        <v>1615</v>
      </c>
      <c r="C325" t="s">
        <v>403</v>
      </c>
      <c r="D325" t="s">
        <v>1008</v>
      </c>
      <c r="E325">
        <v>1727</v>
      </c>
      <c r="F325" t="s">
        <v>1018</v>
      </c>
      <c r="G325" t="s">
        <v>987</v>
      </c>
      <c r="H325" t="s">
        <v>1581</v>
      </c>
      <c r="I325" t="s">
        <v>987</v>
      </c>
      <c r="J325" t="s">
        <v>987</v>
      </c>
      <c r="K325" t="b">
        <v>0</v>
      </c>
      <c r="L325" t="b">
        <v>1</v>
      </c>
      <c r="M325" t="s">
        <v>1020</v>
      </c>
      <c r="N325" t="s">
        <v>989</v>
      </c>
      <c r="O325" t="s">
        <v>1021</v>
      </c>
      <c r="P325" t="s">
        <v>1022</v>
      </c>
      <c r="Q325" t="s">
        <v>1023</v>
      </c>
    </row>
    <row r="326" spans="1:17" x14ac:dyDescent="0.25">
      <c r="A326" t="s">
        <v>42</v>
      </c>
      <c r="B326" t="s">
        <v>1616</v>
      </c>
      <c r="C326" t="s">
        <v>403</v>
      </c>
      <c r="D326" t="s">
        <v>1010</v>
      </c>
      <c r="E326">
        <v>1722</v>
      </c>
      <c r="F326" t="s">
        <v>1018</v>
      </c>
      <c r="G326" t="s">
        <v>987</v>
      </c>
      <c r="H326" t="s">
        <v>1581</v>
      </c>
      <c r="I326" t="s">
        <v>987</v>
      </c>
      <c r="J326" t="s">
        <v>987</v>
      </c>
      <c r="K326" t="b">
        <v>0</v>
      </c>
      <c r="L326" t="b">
        <v>1</v>
      </c>
      <c r="M326" t="s">
        <v>1020</v>
      </c>
      <c r="N326" t="s">
        <v>989</v>
      </c>
      <c r="O326" t="s">
        <v>1021</v>
      </c>
      <c r="P326" t="s">
        <v>1022</v>
      </c>
      <c r="Q326" t="s">
        <v>1023</v>
      </c>
    </row>
    <row r="327" spans="1:17" x14ac:dyDescent="0.25">
      <c r="A327" t="s">
        <v>42</v>
      </c>
      <c r="B327" t="s">
        <v>1617</v>
      </c>
      <c r="C327" t="s">
        <v>403</v>
      </c>
      <c r="D327" t="s">
        <v>1012</v>
      </c>
      <c r="E327">
        <v>4134</v>
      </c>
      <c r="F327" t="s">
        <v>1018</v>
      </c>
      <c r="G327" t="s">
        <v>987</v>
      </c>
      <c r="H327" t="s">
        <v>1581</v>
      </c>
      <c r="I327" t="s">
        <v>987</v>
      </c>
      <c r="J327" t="s">
        <v>987</v>
      </c>
      <c r="K327" t="b">
        <v>0</v>
      </c>
      <c r="L327" t="b">
        <v>1</v>
      </c>
      <c r="M327" t="s">
        <v>1020</v>
      </c>
      <c r="N327" t="s">
        <v>989</v>
      </c>
      <c r="O327" t="s">
        <v>1021</v>
      </c>
      <c r="P327" t="s">
        <v>1022</v>
      </c>
      <c r="Q327" t="s">
        <v>1023</v>
      </c>
    </row>
    <row r="328" spans="1:17" x14ac:dyDescent="0.25">
      <c r="A328" t="s">
        <v>42</v>
      </c>
      <c r="B328" t="s">
        <v>1618</v>
      </c>
      <c r="C328" t="s">
        <v>403</v>
      </c>
      <c r="D328" t="s">
        <v>1014</v>
      </c>
      <c r="E328">
        <v>3942</v>
      </c>
      <c r="F328" t="s">
        <v>1018</v>
      </c>
      <c r="G328" t="s">
        <v>987</v>
      </c>
      <c r="H328" t="s">
        <v>1581</v>
      </c>
      <c r="I328" t="s">
        <v>987</v>
      </c>
      <c r="J328" t="s">
        <v>987</v>
      </c>
      <c r="K328" t="b">
        <v>0</v>
      </c>
      <c r="L328" t="b">
        <v>1</v>
      </c>
      <c r="M328" t="s">
        <v>1020</v>
      </c>
      <c r="N328" t="s">
        <v>989</v>
      </c>
      <c r="O328" t="s">
        <v>1021</v>
      </c>
      <c r="P328" t="s">
        <v>1022</v>
      </c>
      <c r="Q328" t="s">
        <v>1023</v>
      </c>
    </row>
    <row r="329" spans="1:17" x14ac:dyDescent="0.25">
      <c r="A329" t="s">
        <v>42</v>
      </c>
      <c r="B329" t="s">
        <v>1619</v>
      </c>
      <c r="C329" t="s">
        <v>403</v>
      </c>
      <c r="D329" t="s">
        <v>1016</v>
      </c>
      <c r="E329">
        <v>1117</v>
      </c>
      <c r="F329" t="s">
        <v>1018</v>
      </c>
      <c r="G329" t="s">
        <v>987</v>
      </c>
      <c r="H329" t="s">
        <v>1581</v>
      </c>
      <c r="I329" t="s">
        <v>987</v>
      </c>
      <c r="J329" t="s">
        <v>987</v>
      </c>
      <c r="K329" t="b">
        <v>0</v>
      </c>
      <c r="L329" t="b">
        <v>1</v>
      </c>
      <c r="M329" t="s">
        <v>1020</v>
      </c>
      <c r="N329" t="s">
        <v>989</v>
      </c>
      <c r="O329" t="s">
        <v>1021</v>
      </c>
      <c r="P329" t="s">
        <v>1022</v>
      </c>
      <c r="Q329" t="s">
        <v>1023</v>
      </c>
    </row>
    <row r="330" spans="1:17" x14ac:dyDescent="0.25">
      <c r="A330" t="s">
        <v>42</v>
      </c>
      <c r="B330" t="s">
        <v>1620</v>
      </c>
      <c r="C330" t="s">
        <v>403</v>
      </c>
      <c r="D330" t="s">
        <v>1115</v>
      </c>
      <c r="E330">
        <v>98</v>
      </c>
      <c r="F330" t="s">
        <v>1018</v>
      </c>
      <c r="G330" t="s">
        <v>987</v>
      </c>
      <c r="H330" t="s">
        <v>1581</v>
      </c>
      <c r="I330" t="s">
        <v>987</v>
      </c>
      <c r="J330" t="s">
        <v>987</v>
      </c>
      <c r="K330" t="b">
        <v>0</v>
      </c>
      <c r="L330" t="b">
        <v>1</v>
      </c>
      <c r="M330" t="s">
        <v>1020</v>
      </c>
      <c r="N330" t="s">
        <v>989</v>
      </c>
      <c r="O330" t="s">
        <v>1021</v>
      </c>
      <c r="P330" t="s">
        <v>1022</v>
      </c>
      <c r="Q330" t="s">
        <v>1023</v>
      </c>
    </row>
    <row r="331" spans="1:17" x14ac:dyDescent="0.25">
      <c r="A331" t="s">
        <v>42</v>
      </c>
      <c r="B331" t="s">
        <v>1621</v>
      </c>
      <c r="C331" t="s">
        <v>408</v>
      </c>
      <c r="D331" t="s">
        <v>1115</v>
      </c>
      <c r="E331">
        <v>-430</v>
      </c>
      <c r="F331" t="s">
        <v>1018</v>
      </c>
      <c r="G331" t="s">
        <v>1622</v>
      </c>
      <c r="H331" t="s">
        <v>1581</v>
      </c>
      <c r="I331" t="s">
        <v>987</v>
      </c>
      <c r="J331" t="s">
        <v>987</v>
      </c>
      <c r="K331" t="b">
        <v>0</v>
      </c>
      <c r="L331" t="b">
        <v>1</v>
      </c>
      <c r="M331" t="s">
        <v>1020</v>
      </c>
      <c r="N331" t="s">
        <v>989</v>
      </c>
      <c r="O331" t="s">
        <v>1021</v>
      </c>
      <c r="P331" t="s">
        <v>1022</v>
      </c>
      <c r="Q331" t="s">
        <v>1023</v>
      </c>
    </row>
    <row r="332" spans="1:17" x14ac:dyDescent="0.25">
      <c r="A332" t="s">
        <v>42</v>
      </c>
      <c r="B332" t="s">
        <v>1623</v>
      </c>
      <c r="C332" t="s">
        <v>403</v>
      </c>
      <c r="D332" t="s">
        <v>985</v>
      </c>
      <c r="E332">
        <v>0</v>
      </c>
      <c r="F332" t="s">
        <v>1018</v>
      </c>
      <c r="G332" t="s">
        <v>987</v>
      </c>
      <c r="H332" t="s">
        <v>1581</v>
      </c>
      <c r="I332" t="s">
        <v>987</v>
      </c>
      <c r="J332" t="s">
        <v>987</v>
      </c>
      <c r="K332" t="b">
        <v>0</v>
      </c>
      <c r="L332" t="b">
        <v>1</v>
      </c>
      <c r="M332" t="s">
        <v>1020</v>
      </c>
      <c r="N332" t="s">
        <v>989</v>
      </c>
      <c r="O332" t="s">
        <v>1021</v>
      </c>
      <c r="P332" t="s">
        <v>1022</v>
      </c>
      <c r="Q332" t="s">
        <v>1023</v>
      </c>
    </row>
    <row r="333" spans="1:17" x14ac:dyDescent="0.25">
      <c r="A333" t="s">
        <v>42</v>
      </c>
      <c r="B333" t="s">
        <v>1624</v>
      </c>
      <c r="C333" t="s">
        <v>403</v>
      </c>
      <c r="D333" t="s">
        <v>994</v>
      </c>
      <c r="E333">
        <v>-71</v>
      </c>
      <c r="F333" t="s">
        <v>1018</v>
      </c>
      <c r="G333" t="s">
        <v>987</v>
      </c>
      <c r="H333" t="s">
        <v>1581</v>
      </c>
      <c r="I333" t="s">
        <v>987</v>
      </c>
      <c r="J333" t="s">
        <v>987</v>
      </c>
      <c r="K333" t="b">
        <v>0</v>
      </c>
      <c r="L333" t="b">
        <v>1</v>
      </c>
      <c r="M333" t="s">
        <v>1020</v>
      </c>
      <c r="N333" t="s">
        <v>989</v>
      </c>
      <c r="O333" t="s">
        <v>1021</v>
      </c>
      <c r="P333" t="s">
        <v>1022</v>
      </c>
      <c r="Q333" t="s">
        <v>1023</v>
      </c>
    </row>
    <row r="334" spans="1:17" x14ac:dyDescent="0.25">
      <c r="A334" t="s">
        <v>42</v>
      </c>
      <c r="B334" t="s">
        <v>1625</v>
      </c>
      <c r="C334" t="s">
        <v>403</v>
      </c>
      <c r="D334" t="s">
        <v>996</v>
      </c>
      <c r="E334">
        <v>-142</v>
      </c>
      <c r="F334" t="s">
        <v>1018</v>
      </c>
      <c r="G334" t="s">
        <v>987</v>
      </c>
      <c r="H334" t="s">
        <v>1581</v>
      </c>
      <c r="I334" t="s">
        <v>987</v>
      </c>
      <c r="J334" t="s">
        <v>987</v>
      </c>
      <c r="K334" t="b">
        <v>0</v>
      </c>
      <c r="L334" t="b">
        <v>1</v>
      </c>
      <c r="M334" t="s">
        <v>1020</v>
      </c>
      <c r="N334" t="s">
        <v>989</v>
      </c>
      <c r="O334" t="s">
        <v>1021</v>
      </c>
      <c r="P334" t="s">
        <v>1022</v>
      </c>
      <c r="Q334" t="s">
        <v>1023</v>
      </c>
    </row>
    <row r="335" spans="1:17" x14ac:dyDescent="0.25">
      <c r="A335" t="s">
        <v>42</v>
      </c>
      <c r="B335" t="s">
        <v>1626</v>
      </c>
      <c r="C335" t="s">
        <v>403</v>
      </c>
      <c r="D335" t="s">
        <v>998</v>
      </c>
      <c r="E335">
        <v>-165</v>
      </c>
      <c r="F335" t="s">
        <v>1018</v>
      </c>
      <c r="G335" t="s">
        <v>987</v>
      </c>
      <c r="H335" t="s">
        <v>1581</v>
      </c>
      <c r="I335" t="s">
        <v>987</v>
      </c>
      <c r="J335" t="s">
        <v>987</v>
      </c>
      <c r="K335" t="b">
        <v>0</v>
      </c>
      <c r="L335" t="b">
        <v>1</v>
      </c>
      <c r="M335" t="s">
        <v>1020</v>
      </c>
      <c r="N335" t="s">
        <v>989</v>
      </c>
      <c r="O335" t="s">
        <v>1021</v>
      </c>
      <c r="P335" t="s">
        <v>1022</v>
      </c>
      <c r="Q335" t="s">
        <v>1023</v>
      </c>
    </row>
    <row r="336" spans="1:17" x14ac:dyDescent="0.25">
      <c r="A336" t="s">
        <v>42</v>
      </c>
      <c r="B336" t="s">
        <v>1627</v>
      </c>
      <c r="C336" t="s">
        <v>403</v>
      </c>
      <c r="D336" t="s">
        <v>1000</v>
      </c>
      <c r="E336">
        <v>-209</v>
      </c>
      <c r="F336" t="s">
        <v>1018</v>
      </c>
      <c r="G336" t="s">
        <v>987</v>
      </c>
      <c r="H336" t="s">
        <v>1581</v>
      </c>
      <c r="I336" t="s">
        <v>987</v>
      </c>
      <c r="J336" t="s">
        <v>987</v>
      </c>
      <c r="K336" t="b">
        <v>0</v>
      </c>
      <c r="L336" t="b">
        <v>1</v>
      </c>
      <c r="M336" t="s">
        <v>1020</v>
      </c>
      <c r="N336" t="s">
        <v>989</v>
      </c>
      <c r="O336" t="s">
        <v>1021</v>
      </c>
      <c r="P336" t="s">
        <v>1022</v>
      </c>
      <c r="Q336" t="s">
        <v>1023</v>
      </c>
    </row>
    <row r="337" spans="1:17" x14ac:dyDescent="0.25">
      <c r="A337" t="s">
        <v>42</v>
      </c>
      <c r="B337" t="s">
        <v>1628</v>
      </c>
      <c r="C337" t="s">
        <v>403</v>
      </c>
      <c r="D337" t="s">
        <v>1002</v>
      </c>
      <c r="E337">
        <v>-256</v>
      </c>
      <c r="F337" t="s">
        <v>1018</v>
      </c>
      <c r="G337" t="s">
        <v>987</v>
      </c>
      <c r="H337" t="s">
        <v>1581</v>
      </c>
      <c r="I337" t="s">
        <v>987</v>
      </c>
      <c r="J337" t="s">
        <v>987</v>
      </c>
      <c r="K337" t="b">
        <v>0</v>
      </c>
      <c r="L337" t="b">
        <v>1</v>
      </c>
      <c r="M337" t="s">
        <v>1020</v>
      </c>
      <c r="N337" t="s">
        <v>989</v>
      </c>
      <c r="O337" t="s">
        <v>1021</v>
      </c>
      <c r="P337" t="s">
        <v>1022</v>
      </c>
      <c r="Q337" t="s">
        <v>1023</v>
      </c>
    </row>
    <row r="338" spans="1:17" x14ac:dyDescent="0.25">
      <c r="A338" t="s">
        <v>42</v>
      </c>
      <c r="B338" t="s">
        <v>1629</v>
      </c>
      <c r="C338" t="s">
        <v>403</v>
      </c>
      <c r="D338" t="s">
        <v>1004</v>
      </c>
      <c r="E338">
        <v>-187</v>
      </c>
      <c r="F338" t="s">
        <v>1018</v>
      </c>
      <c r="G338" t="s">
        <v>987</v>
      </c>
      <c r="H338" t="s">
        <v>1581</v>
      </c>
      <c r="I338" t="s">
        <v>987</v>
      </c>
      <c r="J338" t="s">
        <v>987</v>
      </c>
      <c r="K338" t="b">
        <v>0</v>
      </c>
      <c r="L338" t="b">
        <v>1</v>
      </c>
      <c r="M338" t="s">
        <v>1020</v>
      </c>
      <c r="N338" t="s">
        <v>989</v>
      </c>
      <c r="O338" t="s">
        <v>1021</v>
      </c>
      <c r="P338" t="s">
        <v>1022</v>
      </c>
      <c r="Q338" t="s">
        <v>1023</v>
      </c>
    </row>
    <row r="339" spans="1:17" x14ac:dyDescent="0.25">
      <c r="A339" t="s">
        <v>42</v>
      </c>
      <c r="B339" t="s">
        <v>1630</v>
      </c>
      <c r="C339" t="s">
        <v>403</v>
      </c>
      <c r="D339" t="s">
        <v>1006</v>
      </c>
      <c r="E339">
        <v>-164</v>
      </c>
      <c r="F339" t="s">
        <v>1018</v>
      </c>
      <c r="G339" t="s">
        <v>987</v>
      </c>
      <c r="H339" t="s">
        <v>1581</v>
      </c>
      <c r="I339" t="s">
        <v>987</v>
      </c>
      <c r="J339" t="s">
        <v>987</v>
      </c>
      <c r="K339" t="b">
        <v>0</v>
      </c>
      <c r="L339" t="b">
        <v>1</v>
      </c>
      <c r="M339" t="s">
        <v>1020</v>
      </c>
      <c r="N339" t="s">
        <v>989</v>
      </c>
      <c r="O339" t="s">
        <v>1021</v>
      </c>
      <c r="P339" t="s">
        <v>1022</v>
      </c>
      <c r="Q339" t="s">
        <v>1023</v>
      </c>
    </row>
    <row r="340" spans="1:17" x14ac:dyDescent="0.25">
      <c r="A340" t="s">
        <v>42</v>
      </c>
      <c r="B340" t="s">
        <v>1631</v>
      </c>
      <c r="C340" t="s">
        <v>403</v>
      </c>
      <c r="D340" t="s">
        <v>1008</v>
      </c>
      <c r="E340">
        <v>-136</v>
      </c>
      <c r="F340" t="s">
        <v>1018</v>
      </c>
      <c r="G340" t="s">
        <v>987</v>
      </c>
      <c r="H340" t="s">
        <v>1581</v>
      </c>
      <c r="I340" t="s">
        <v>987</v>
      </c>
      <c r="J340" t="s">
        <v>987</v>
      </c>
      <c r="K340" t="b">
        <v>0</v>
      </c>
      <c r="L340" t="b">
        <v>1</v>
      </c>
      <c r="M340" t="s">
        <v>1020</v>
      </c>
      <c r="N340" t="s">
        <v>989</v>
      </c>
      <c r="O340" t="s">
        <v>1021</v>
      </c>
      <c r="P340" t="s">
        <v>1022</v>
      </c>
      <c r="Q340" t="s">
        <v>1023</v>
      </c>
    </row>
    <row r="341" spans="1:17" x14ac:dyDescent="0.25">
      <c r="A341" t="s">
        <v>42</v>
      </c>
      <c r="B341" t="s">
        <v>1632</v>
      </c>
      <c r="C341" t="s">
        <v>403</v>
      </c>
      <c r="D341" t="s">
        <v>1010</v>
      </c>
      <c r="E341">
        <v>-393</v>
      </c>
      <c r="F341" t="s">
        <v>1018</v>
      </c>
      <c r="G341" t="s">
        <v>987</v>
      </c>
      <c r="H341" t="s">
        <v>1581</v>
      </c>
      <c r="I341" t="s">
        <v>987</v>
      </c>
      <c r="J341" t="s">
        <v>987</v>
      </c>
      <c r="K341" t="b">
        <v>0</v>
      </c>
      <c r="L341" t="b">
        <v>1</v>
      </c>
      <c r="M341" t="s">
        <v>1020</v>
      </c>
      <c r="N341" t="s">
        <v>989</v>
      </c>
      <c r="O341" t="s">
        <v>1021</v>
      </c>
      <c r="P341" t="s">
        <v>1022</v>
      </c>
      <c r="Q341" t="s">
        <v>1023</v>
      </c>
    </row>
    <row r="342" spans="1:17" x14ac:dyDescent="0.25">
      <c r="A342" t="s">
        <v>42</v>
      </c>
      <c r="B342" t="s">
        <v>1633</v>
      </c>
      <c r="C342" t="s">
        <v>403</v>
      </c>
      <c r="D342" t="s">
        <v>1012</v>
      </c>
      <c r="E342">
        <v>-285</v>
      </c>
      <c r="F342" t="s">
        <v>1018</v>
      </c>
      <c r="G342" t="s">
        <v>987</v>
      </c>
      <c r="H342" t="s">
        <v>1581</v>
      </c>
      <c r="I342" t="s">
        <v>987</v>
      </c>
      <c r="J342" t="s">
        <v>987</v>
      </c>
      <c r="K342" t="b">
        <v>0</v>
      </c>
      <c r="L342" t="b">
        <v>1</v>
      </c>
      <c r="M342" t="s">
        <v>1020</v>
      </c>
      <c r="N342" t="s">
        <v>989</v>
      </c>
      <c r="O342" t="s">
        <v>1021</v>
      </c>
      <c r="P342" t="s">
        <v>1022</v>
      </c>
      <c r="Q342" t="s">
        <v>1023</v>
      </c>
    </row>
    <row r="343" spans="1:17" x14ac:dyDescent="0.25">
      <c r="A343" t="s">
        <v>42</v>
      </c>
      <c r="B343" t="s">
        <v>1634</v>
      </c>
      <c r="C343" t="s">
        <v>403</v>
      </c>
      <c r="D343" t="s">
        <v>1014</v>
      </c>
      <c r="E343">
        <v>-245</v>
      </c>
      <c r="F343" t="s">
        <v>1018</v>
      </c>
      <c r="G343" t="s">
        <v>987</v>
      </c>
      <c r="H343" t="s">
        <v>1581</v>
      </c>
      <c r="I343" t="s">
        <v>987</v>
      </c>
      <c r="J343" t="s">
        <v>987</v>
      </c>
      <c r="K343" t="b">
        <v>0</v>
      </c>
      <c r="L343" t="b">
        <v>1</v>
      </c>
      <c r="M343" t="s">
        <v>1020</v>
      </c>
      <c r="N343" t="s">
        <v>989</v>
      </c>
      <c r="O343" t="s">
        <v>1021</v>
      </c>
      <c r="P343" t="s">
        <v>1022</v>
      </c>
      <c r="Q343" t="s">
        <v>1023</v>
      </c>
    </row>
    <row r="344" spans="1:17" x14ac:dyDescent="0.25">
      <c r="A344" t="s">
        <v>42</v>
      </c>
      <c r="B344" t="s">
        <v>1635</v>
      </c>
      <c r="C344" t="s">
        <v>403</v>
      </c>
      <c r="D344" t="s">
        <v>1016</v>
      </c>
      <c r="E344">
        <v>-136</v>
      </c>
      <c r="F344" t="s">
        <v>1018</v>
      </c>
      <c r="G344" t="s">
        <v>987</v>
      </c>
      <c r="H344" t="s">
        <v>1581</v>
      </c>
      <c r="I344" t="s">
        <v>987</v>
      </c>
      <c r="J344" t="s">
        <v>987</v>
      </c>
      <c r="K344" t="b">
        <v>0</v>
      </c>
      <c r="L344" t="b">
        <v>1</v>
      </c>
      <c r="M344" t="s">
        <v>1020</v>
      </c>
      <c r="N344" t="s">
        <v>989</v>
      </c>
      <c r="O344" t="s">
        <v>1021</v>
      </c>
      <c r="P344" t="s">
        <v>1022</v>
      </c>
      <c r="Q344" t="s">
        <v>1023</v>
      </c>
    </row>
    <row r="345" spans="1:17" x14ac:dyDescent="0.25">
      <c r="A345" t="s">
        <v>42</v>
      </c>
      <c r="B345" t="s">
        <v>1636</v>
      </c>
      <c r="C345" t="s">
        <v>403</v>
      </c>
      <c r="D345" t="s">
        <v>1115</v>
      </c>
      <c r="E345">
        <v>-11</v>
      </c>
      <c r="F345" t="s">
        <v>1018</v>
      </c>
      <c r="G345" t="s">
        <v>987</v>
      </c>
      <c r="H345" t="s">
        <v>1581</v>
      </c>
      <c r="I345" t="s">
        <v>987</v>
      </c>
      <c r="J345" t="s">
        <v>987</v>
      </c>
      <c r="K345" t="b">
        <v>0</v>
      </c>
      <c r="L345" t="b">
        <v>1</v>
      </c>
      <c r="M345" t="s">
        <v>1020</v>
      </c>
      <c r="N345" t="s">
        <v>989</v>
      </c>
      <c r="O345" t="s">
        <v>1021</v>
      </c>
      <c r="P345" t="s">
        <v>1022</v>
      </c>
      <c r="Q345" t="s">
        <v>1023</v>
      </c>
    </row>
    <row r="346" spans="1:17" x14ac:dyDescent="0.25">
      <c r="A346" t="s">
        <v>42</v>
      </c>
      <c r="B346" t="s">
        <v>1637</v>
      </c>
      <c r="C346" t="s">
        <v>403</v>
      </c>
      <c r="D346" t="s">
        <v>985</v>
      </c>
      <c r="E346">
        <v>0</v>
      </c>
      <c r="F346" t="s">
        <v>1018</v>
      </c>
      <c r="G346" t="s">
        <v>987</v>
      </c>
      <c r="H346" t="s">
        <v>1581</v>
      </c>
      <c r="I346" t="s">
        <v>987</v>
      </c>
      <c r="J346" t="s">
        <v>987</v>
      </c>
      <c r="K346" t="b">
        <v>0</v>
      </c>
      <c r="L346" t="b">
        <v>1</v>
      </c>
      <c r="M346" t="s">
        <v>1020</v>
      </c>
      <c r="N346" t="s">
        <v>989</v>
      </c>
      <c r="O346" t="s">
        <v>1021</v>
      </c>
      <c r="P346" t="s">
        <v>1022</v>
      </c>
      <c r="Q346" t="s">
        <v>1023</v>
      </c>
    </row>
    <row r="347" spans="1:17" x14ac:dyDescent="0.25">
      <c r="A347" t="s">
        <v>42</v>
      </c>
      <c r="B347" t="s">
        <v>1638</v>
      </c>
      <c r="C347" t="s">
        <v>403</v>
      </c>
      <c r="D347" t="s">
        <v>994</v>
      </c>
      <c r="E347">
        <v>0</v>
      </c>
      <c r="F347" t="s">
        <v>1018</v>
      </c>
      <c r="G347" t="s">
        <v>987</v>
      </c>
      <c r="H347" t="s">
        <v>1581</v>
      </c>
      <c r="I347" t="s">
        <v>987</v>
      </c>
      <c r="J347" t="s">
        <v>987</v>
      </c>
      <c r="K347" t="b">
        <v>0</v>
      </c>
      <c r="L347" t="b">
        <v>1</v>
      </c>
      <c r="M347" t="s">
        <v>1020</v>
      </c>
      <c r="N347" t="s">
        <v>989</v>
      </c>
      <c r="O347" t="s">
        <v>1021</v>
      </c>
      <c r="P347" t="s">
        <v>1022</v>
      </c>
      <c r="Q347" t="s">
        <v>1023</v>
      </c>
    </row>
    <row r="348" spans="1:17" x14ac:dyDescent="0.25">
      <c r="A348" t="s">
        <v>42</v>
      </c>
      <c r="B348" t="s">
        <v>1639</v>
      </c>
      <c r="C348" t="s">
        <v>403</v>
      </c>
      <c r="D348" t="s">
        <v>996</v>
      </c>
      <c r="E348">
        <v>0</v>
      </c>
      <c r="F348" t="s">
        <v>1018</v>
      </c>
      <c r="G348" t="s">
        <v>987</v>
      </c>
      <c r="H348" t="s">
        <v>1581</v>
      </c>
      <c r="I348" t="s">
        <v>987</v>
      </c>
      <c r="J348" t="s">
        <v>987</v>
      </c>
      <c r="K348" t="b">
        <v>0</v>
      </c>
      <c r="L348" t="b">
        <v>1</v>
      </c>
      <c r="M348" t="s">
        <v>1020</v>
      </c>
      <c r="N348" t="s">
        <v>989</v>
      </c>
      <c r="O348" t="s">
        <v>1021</v>
      </c>
      <c r="P348" t="s">
        <v>1022</v>
      </c>
      <c r="Q348" t="s">
        <v>1023</v>
      </c>
    </row>
    <row r="349" spans="1:17" x14ac:dyDescent="0.25">
      <c r="A349" t="s">
        <v>42</v>
      </c>
      <c r="B349" t="s">
        <v>1640</v>
      </c>
      <c r="C349" t="s">
        <v>403</v>
      </c>
      <c r="D349" t="s">
        <v>998</v>
      </c>
      <c r="E349">
        <v>0</v>
      </c>
      <c r="F349" t="s">
        <v>1018</v>
      </c>
      <c r="G349" t="s">
        <v>987</v>
      </c>
      <c r="H349" t="s">
        <v>1581</v>
      </c>
      <c r="I349" t="s">
        <v>987</v>
      </c>
      <c r="J349" t="s">
        <v>987</v>
      </c>
      <c r="K349" t="b">
        <v>0</v>
      </c>
      <c r="L349" t="b">
        <v>1</v>
      </c>
      <c r="M349" t="s">
        <v>1020</v>
      </c>
      <c r="N349" t="s">
        <v>989</v>
      </c>
      <c r="O349" t="s">
        <v>1021</v>
      </c>
      <c r="P349" t="s">
        <v>1022</v>
      </c>
      <c r="Q349" t="s">
        <v>1023</v>
      </c>
    </row>
    <row r="350" spans="1:17" x14ac:dyDescent="0.25">
      <c r="A350" t="s">
        <v>42</v>
      </c>
      <c r="B350" t="s">
        <v>1641</v>
      </c>
      <c r="C350" t="s">
        <v>403</v>
      </c>
      <c r="D350" t="s">
        <v>1000</v>
      </c>
      <c r="E350">
        <v>0</v>
      </c>
      <c r="F350" t="s">
        <v>1018</v>
      </c>
      <c r="G350" t="s">
        <v>987</v>
      </c>
      <c r="H350" t="s">
        <v>1581</v>
      </c>
      <c r="I350" t="s">
        <v>987</v>
      </c>
      <c r="J350" t="s">
        <v>987</v>
      </c>
      <c r="K350" t="b">
        <v>0</v>
      </c>
      <c r="L350" t="b">
        <v>1</v>
      </c>
      <c r="M350" t="s">
        <v>1020</v>
      </c>
      <c r="N350" t="s">
        <v>989</v>
      </c>
      <c r="O350" t="s">
        <v>1021</v>
      </c>
      <c r="P350" t="s">
        <v>1022</v>
      </c>
      <c r="Q350" t="s">
        <v>1023</v>
      </c>
    </row>
    <row r="351" spans="1:17" x14ac:dyDescent="0.25">
      <c r="A351" t="s">
        <v>42</v>
      </c>
      <c r="B351" t="s">
        <v>1642</v>
      </c>
      <c r="C351" t="s">
        <v>403</v>
      </c>
      <c r="D351" t="s">
        <v>1002</v>
      </c>
      <c r="E351">
        <v>0</v>
      </c>
      <c r="F351" t="s">
        <v>1018</v>
      </c>
      <c r="G351" t="s">
        <v>987</v>
      </c>
      <c r="H351" t="s">
        <v>1581</v>
      </c>
      <c r="I351" t="s">
        <v>987</v>
      </c>
      <c r="J351" t="s">
        <v>987</v>
      </c>
      <c r="K351" t="b">
        <v>0</v>
      </c>
      <c r="L351" t="b">
        <v>1</v>
      </c>
      <c r="M351" t="s">
        <v>1020</v>
      </c>
      <c r="N351" t="s">
        <v>989</v>
      </c>
      <c r="O351" t="s">
        <v>1021</v>
      </c>
      <c r="P351" t="s">
        <v>1022</v>
      </c>
      <c r="Q351" t="s">
        <v>1023</v>
      </c>
    </row>
    <row r="352" spans="1:17" x14ac:dyDescent="0.25">
      <c r="A352" t="s">
        <v>42</v>
      </c>
      <c r="B352" t="s">
        <v>1643</v>
      </c>
      <c r="C352" t="s">
        <v>403</v>
      </c>
      <c r="D352" t="s">
        <v>1004</v>
      </c>
      <c r="E352">
        <v>0</v>
      </c>
      <c r="F352" t="s">
        <v>1018</v>
      </c>
      <c r="G352" t="s">
        <v>987</v>
      </c>
      <c r="H352" t="s">
        <v>1581</v>
      </c>
      <c r="I352" t="s">
        <v>987</v>
      </c>
      <c r="J352" t="s">
        <v>987</v>
      </c>
      <c r="K352" t="b">
        <v>0</v>
      </c>
      <c r="L352" t="b">
        <v>1</v>
      </c>
      <c r="M352" t="s">
        <v>1020</v>
      </c>
      <c r="N352" t="s">
        <v>989</v>
      </c>
      <c r="O352" t="s">
        <v>1021</v>
      </c>
      <c r="P352" t="s">
        <v>1022</v>
      </c>
      <c r="Q352" t="s">
        <v>1023</v>
      </c>
    </row>
    <row r="353" spans="1:17" x14ac:dyDescent="0.25">
      <c r="A353" t="s">
        <v>42</v>
      </c>
      <c r="B353" t="s">
        <v>1644</v>
      </c>
      <c r="C353" t="s">
        <v>403</v>
      </c>
      <c r="D353" t="s">
        <v>1006</v>
      </c>
      <c r="E353">
        <v>0</v>
      </c>
      <c r="F353" t="s">
        <v>1018</v>
      </c>
      <c r="G353" t="s">
        <v>987</v>
      </c>
      <c r="H353" t="s">
        <v>1581</v>
      </c>
      <c r="I353" t="s">
        <v>987</v>
      </c>
      <c r="J353" t="s">
        <v>987</v>
      </c>
      <c r="K353" t="b">
        <v>0</v>
      </c>
      <c r="L353" t="b">
        <v>1</v>
      </c>
      <c r="M353" t="s">
        <v>1020</v>
      </c>
      <c r="N353" t="s">
        <v>989</v>
      </c>
      <c r="O353" t="s">
        <v>1021</v>
      </c>
      <c r="P353" t="s">
        <v>1022</v>
      </c>
      <c r="Q353" t="s">
        <v>1023</v>
      </c>
    </row>
    <row r="354" spans="1:17" x14ac:dyDescent="0.25">
      <c r="A354" t="s">
        <v>42</v>
      </c>
      <c r="B354" t="s">
        <v>1645</v>
      </c>
      <c r="C354" t="s">
        <v>403</v>
      </c>
      <c r="D354" t="s">
        <v>1008</v>
      </c>
      <c r="E354">
        <v>0</v>
      </c>
      <c r="F354" t="s">
        <v>1018</v>
      </c>
      <c r="G354" t="s">
        <v>987</v>
      </c>
      <c r="H354" t="s">
        <v>1581</v>
      </c>
      <c r="I354" t="s">
        <v>987</v>
      </c>
      <c r="J354" t="s">
        <v>987</v>
      </c>
      <c r="K354" t="b">
        <v>0</v>
      </c>
      <c r="L354" t="b">
        <v>1</v>
      </c>
      <c r="M354" t="s">
        <v>1020</v>
      </c>
      <c r="N354" t="s">
        <v>989</v>
      </c>
      <c r="O354" t="s">
        <v>1021</v>
      </c>
      <c r="P354" t="s">
        <v>1022</v>
      </c>
      <c r="Q354" t="s">
        <v>1023</v>
      </c>
    </row>
    <row r="355" spans="1:17" x14ac:dyDescent="0.25">
      <c r="A355" t="s">
        <v>42</v>
      </c>
      <c r="B355" t="s">
        <v>1646</v>
      </c>
      <c r="C355" t="s">
        <v>403</v>
      </c>
      <c r="D355" t="s">
        <v>1010</v>
      </c>
      <c r="E355">
        <v>0</v>
      </c>
      <c r="F355" t="s">
        <v>1018</v>
      </c>
      <c r="G355" t="s">
        <v>987</v>
      </c>
      <c r="H355" t="s">
        <v>1581</v>
      </c>
      <c r="I355" t="s">
        <v>987</v>
      </c>
      <c r="J355" t="s">
        <v>987</v>
      </c>
      <c r="K355" t="b">
        <v>0</v>
      </c>
      <c r="L355" t="b">
        <v>1</v>
      </c>
      <c r="M355" t="s">
        <v>1020</v>
      </c>
      <c r="N355" t="s">
        <v>989</v>
      </c>
      <c r="O355" t="s">
        <v>1021</v>
      </c>
      <c r="P355" t="s">
        <v>1022</v>
      </c>
      <c r="Q355" t="s">
        <v>1023</v>
      </c>
    </row>
    <row r="356" spans="1:17" x14ac:dyDescent="0.25">
      <c r="A356" t="s">
        <v>42</v>
      </c>
      <c r="B356" t="s">
        <v>1647</v>
      </c>
      <c r="C356" t="s">
        <v>403</v>
      </c>
      <c r="D356" t="s">
        <v>1012</v>
      </c>
      <c r="E356">
        <v>0</v>
      </c>
      <c r="F356" t="s">
        <v>1018</v>
      </c>
      <c r="G356" t="s">
        <v>987</v>
      </c>
      <c r="H356" t="s">
        <v>1581</v>
      </c>
      <c r="I356" t="s">
        <v>987</v>
      </c>
      <c r="J356" t="s">
        <v>987</v>
      </c>
      <c r="K356" t="b">
        <v>0</v>
      </c>
      <c r="L356" t="b">
        <v>1</v>
      </c>
      <c r="M356" t="s">
        <v>1020</v>
      </c>
      <c r="N356" t="s">
        <v>989</v>
      </c>
      <c r="O356" t="s">
        <v>1021</v>
      </c>
      <c r="P356" t="s">
        <v>1022</v>
      </c>
      <c r="Q356" t="s">
        <v>1023</v>
      </c>
    </row>
    <row r="357" spans="1:17" x14ac:dyDescent="0.25">
      <c r="A357" t="s">
        <v>42</v>
      </c>
      <c r="B357" t="s">
        <v>1648</v>
      </c>
      <c r="C357" t="s">
        <v>403</v>
      </c>
      <c r="D357" t="s">
        <v>1014</v>
      </c>
      <c r="E357">
        <v>0</v>
      </c>
      <c r="F357" t="s">
        <v>1018</v>
      </c>
      <c r="G357" t="s">
        <v>987</v>
      </c>
      <c r="H357" t="s">
        <v>1581</v>
      </c>
      <c r="I357" t="s">
        <v>987</v>
      </c>
      <c r="J357" t="s">
        <v>987</v>
      </c>
      <c r="K357" t="b">
        <v>0</v>
      </c>
      <c r="L357" t="b">
        <v>1</v>
      </c>
      <c r="M357" t="s">
        <v>1020</v>
      </c>
      <c r="N357" t="s">
        <v>989</v>
      </c>
      <c r="O357" t="s">
        <v>1021</v>
      </c>
      <c r="P357" t="s">
        <v>1022</v>
      </c>
      <c r="Q357" t="s">
        <v>1023</v>
      </c>
    </row>
    <row r="358" spans="1:17" x14ac:dyDescent="0.25">
      <c r="A358" t="s">
        <v>42</v>
      </c>
      <c r="B358" t="s">
        <v>1649</v>
      </c>
      <c r="C358" t="s">
        <v>403</v>
      </c>
      <c r="D358" t="s">
        <v>1016</v>
      </c>
      <c r="E358">
        <v>0</v>
      </c>
      <c r="F358" t="s">
        <v>1018</v>
      </c>
      <c r="G358" t="s">
        <v>987</v>
      </c>
      <c r="H358" t="s">
        <v>1581</v>
      </c>
      <c r="I358" t="s">
        <v>987</v>
      </c>
      <c r="J358" t="s">
        <v>987</v>
      </c>
      <c r="K358" t="b">
        <v>0</v>
      </c>
      <c r="L358" t="b">
        <v>1</v>
      </c>
      <c r="M358" t="s">
        <v>1020</v>
      </c>
      <c r="N358" t="s">
        <v>989</v>
      </c>
      <c r="O358" t="s">
        <v>1021</v>
      </c>
      <c r="P358" t="s">
        <v>1022</v>
      </c>
      <c r="Q358" t="s">
        <v>1023</v>
      </c>
    </row>
    <row r="359" spans="1:17" x14ac:dyDescent="0.25">
      <c r="A359" t="s">
        <v>42</v>
      </c>
      <c r="B359" t="s">
        <v>1650</v>
      </c>
      <c r="C359" t="s">
        <v>403</v>
      </c>
      <c r="D359" t="s">
        <v>1115</v>
      </c>
      <c r="E359">
        <v>0</v>
      </c>
      <c r="F359" t="s">
        <v>1018</v>
      </c>
      <c r="G359" t="s">
        <v>987</v>
      </c>
      <c r="H359" t="s">
        <v>1581</v>
      </c>
      <c r="I359" t="s">
        <v>987</v>
      </c>
      <c r="J359" t="s">
        <v>987</v>
      </c>
      <c r="K359" t="b">
        <v>0</v>
      </c>
      <c r="L359" t="b">
        <v>1</v>
      </c>
      <c r="M359" t="s">
        <v>1020</v>
      </c>
      <c r="N359" t="s">
        <v>989</v>
      </c>
      <c r="O359" t="s">
        <v>1021</v>
      </c>
      <c r="P359" t="s">
        <v>1022</v>
      </c>
      <c r="Q359" t="s">
        <v>1023</v>
      </c>
    </row>
    <row r="360" spans="1:17" x14ac:dyDescent="0.25">
      <c r="A360" t="s">
        <v>42</v>
      </c>
      <c r="B360" t="s">
        <v>1651</v>
      </c>
      <c r="C360" t="s">
        <v>403</v>
      </c>
      <c r="D360" t="s">
        <v>985</v>
      </c>
      <c r="E360">
        <v>0</v>
      </c>
      <c r="F360" t="s">
        <v>1018</v>
      </c>
      <c r="G360" t="s">
        <v>987</v>
      </c>
      <c r="H360" t="s">
        <v>1581</v>
      </c>
      <c r="I360" t="s">
        <v>987</v>
      </c>
      <c r="J360" t="s">
        <v>987</v>
      </c>
      <c r="K360" t="b">
        <v>0</v>
      </c>
      <c r="L360" t="b">
        <v>1</v>
      </c>
      <c r="M360" t="s">
        <v>1020</v>
      </c>
      <c r="N360" t="s">
        <v>989</v>
      </c>
      <c r="O360" t="s">
        <v>1021</v>
      </c>
      <c r="P360" t="s">
        <v>1022</v>
      </c>
      <c r="Q360" t="s">
        <v>1023</v>
      </c>
    </row>
    <row r="361" spans="1:17" x14ac:dyDescent="0.25">
      <c r="A361" t="s">
        <v>42</v>
      </c>
      <c r="B361" t="s">
        <v>1652</v>
      </c>
      <c r="C361" t="s">
        <v>403</v>
      </c>
      <c r="D361" t="s">
        <v>994</v>
      </c>
      <c r="E361">
        <v>15844</v>
      </c>
      <c r="F361" t="s">
        <v>1018</v>
      </c>
      <c r="G361" t="s">
        <v>987</v>
      </c>
      <c r="H361" t="s">
        <v>1581</v>
      </c>
      <c r="I361" t="s">
        <v>987</v>
      </c>
      <c r="J361" t="s">
        <v>987</v>
      </c>
      <c r="K361" t="b">
        <v>0</v>
      </c>
      <c r="L361" t="b">
        <v>1</v>
      </c>
      <c r="M361" t="s">
        <v>1020</v>
      </c>
      <c r="N361" t="s">
        <v>989</v>
      </c>
      <c r="O361" t="s">
        <v>1021</v>
      </c>
      <c r="P361" t="s">
        <v>1022</v>
      </c>
      <c r="Q361" t="s">
        <v>1023</v>
      </c>
    </row>
    <row r="362" spans="1:17" x14ac:dyDescent="0.25">
      <c r="A362" t="s">
        <v>42</v>
      </c>
      <c r="B362" t="s">
        <v>1653</v>
      </c>
      <c r="C362" t="s">
        <v>403</v>
      </c>
      <c r="D362" t="s">
        <v>996</v>
      </c>
      <c r="E362">
        <v>15831</v>
      </c>
      <c r="F362" t="s">
        <v>1018</v>
      </c>
      <c r="G362" t="s">
        <v>987</v>
      </c>
      <c r="H362" t="s">
        <v>1581</v>
      </c>
      <c r="I362" t="s">
        <v>987</v>
      </c>
      <c r="J362" t="s">
        <v>987</v>
      </c>
      <c r="K362" t="b">
        <v>0</v>
      </c>
      <c r="L362" t="b">
        <v>1</v>
      </c>
      <c r="M362" t="s">
        <v>1020</v>
      </c>
      <c r="N362" t="s">
        <v>989</v>
      </c>
      <c r="O362" t="s">
        <v>1021</v>
      </c>
      <c r="P362" t="s">
        <v>1022</v>
      </c>
      <c r="Q362" t="s">
        <v>1023</v>
      </c>
    </row>
    <row r="363" spans="1:17" x14ac:dyDescent="0.25">
      <c r="A363" t="s">
        <v>42</v>
      </c>
      <c r="B363" t="s">
        <v>1654</v>
      </c>
      <c r="C363" t="s">
        <v>403</v>
      </c>
      <c r="D363" t="s">
        <v>998</v>
      </c>
      <c r="E363">
        <v>15577</v>
      </c>
      <c r="F363" t="s">
        <v>1018</v>
      </c>
      <c r="G363" t="s">
        <v>987</v>
      </c>
      <c r="H363" t="s">
        <v>1581</v>
      </c>
      <c r="I363" t="s">
        <v>987</v>
      </c>
      <c r="J363" t="s">
        <v>987</v>
      </c>
      <c r="K363" t="b">
        <v>0</v>
      </c>
      <c r="L363" t="b">
        <v>1</v>
      </c>
      <c r="M363" t="s">
        <v>1020</v>
      </c>
      <c r="N363" t="s">
        <v>989</v>
      </c>
      <c r="O363" t="s">
        <v>1021</v>
      </c>
      <c r="P363" t="s">
        <v>1022</v>
      </c>
      <c r="Q363" t="s">
        <v>1023</v>
      </c>
    </row>
    <row r="364" spans="1:17" x14ac:dyDescent="0.25">
      <c r="A364" t="s">
        <v>42</v>
      </c>
      <c r="B364" t="s">
        <v>1655</v>
      </c>
      <c r="C364" t="s">
        <v>403</v>
      </c>
      <c r="D364" t="s">
        <v>1000</v>
      </c>
      <c r="E364">
        <v>15501</v>
      </c>
      <c r="F364" t="s">
        <v>1018</v>
      </c>
      <c r="G364" t="s">
        <v>987</v>
      </c>
      <c r="H364" t="s">
        <v>1581</v>
      </c>
      <c r="I364" t="s">
        <v>987</v>
      </c>
      <c r="J364" t="s">
        <v>987</v>
      </c>
      <c r="K364" t="b">
        <v>0</v>
      </c>
      <c r="L364" t="b">
        <v>1</v>
      </c>
      <c r="M364" t="s">
        <v>1020</v>
      </c>
      <c r="N364" t="s">
        <v>989</v>
      </c>
      <c r="O364" t="s">
        <v>1021</v>
      </c>
      <c r="P364" t="s">
        <v>1022</v>
      </c>
      <c r="Q364" t="s">
        <v>1023</v>
      </c>
    </row>
    <row r="365" spans="1:17" x14ac:dyDescent="0.25">
      <c r="A365" t="s">
        <v>42</v>
      </c>
      <c r="B365" t="s">
        <v>1656</v>
      </c>
      <c r="C365" t="s">
        <v>403</v>
      </c>
      <c r="D365" t="s">
        <v>1002</v>
      </c>
      <c r="E365">
        <v>17550</v>
      </c>
      <c r="F365" t="s">
        <v>1018</v>
      </c>
      <c r="G365" t="s">
        <v>987</v>
      </c>
      <c r="H365" t="s">
        <v>1581</v>
      </c>
      <c r="I365" t="s">
        <v>987</v>
      </c>
      <c r="J365" t="s">
        <v>987</v>
      </c>
      <c r="K365" t="b">
        <v>0</v>
      </c>
      <c r="L365" t="b">
        <v>1</v>
      </c>
      <c r="M365" t="s">
        <v>1020</v>
      </c>
      <c r="N365" t="s">
        <v>989</v>
      </c>
      <c r="O365" t="s">
        <v>1021</v>
      </c>
      <c r="P365" t="s">
        <v>1022</v>
      </c>
      <c r="Q365" t="s">
        <v>1023</v>
      </c>
    </row>
    <row r="366" spans="1:17" x14ac:dyDescent="0.25">
      <c r="A366" t="s">
        <v>42</v>
      </c>
      <c r="B366" t="s">
        <v>1657</v>
      </c>
      <c r="C366" t="s">
        <v>403</v>
      </c>
      <c r="D366" t="s">
        <v>1004</v>
      </c>
      <c r="E366">
        <v>17547</v>
      </c>
      <c r="F366" t="s">
        <v>1018</v>
      </c>
      <c r="G366" t="s">
        <v>987</v>
      </c>
      <c r="H366" t="s">
        <v>1581</v>
      </c>
      <c r="I366" t="s">
        <v>987</v>
      </c>
      <c r="J366" t="s">
        <v>987</v>
      </c>
      <c r="K366" t="b">
        <v>0</v>
      </c>
      <c r="L366" t="b">
        <v>1</v>
      </c>
      <c r="M366" t="s">
        <v>1020</v>
      </c>
      <c r="N366" t="s">
        <v>989</v>
      </c>
      <c r="O366" t="s">
        <v>1021</v>
      </c>
      <c r="P366" t="s">
        <v>1022</v>
      </c>
      <c r="Q366" t="s">
        <v>1023</v>
      </c>
    </row>
    <row r="367" spans="1:17" x14ac:dyDescent="0.25">
      <c r="A367" t="s">
        <v>42</v>
      </c>
      <c r="B367" t="s">
        <v>1658</v>
      </c>
      <c r="C367" t="s">
        <v>403</v>
      </c>
      <c r="D367" t="s">
        <v>1006</v>
      </c>
      <c r="E367">
        <v>17209</v>
      </c>
      <c r="F367" t="s">
        <v>1018</v>
      </c>
      <c r="G367" t="s">
        <v>987</v>
      </c>
      <c r="H367" t="s">
        <v>1581</v>
      </c>
      <c r="I367" t="s">
        <v>987</v>
      </c>
      <c r="J367" t="s">
        <v>987</v>
      </c>
      <c r="K367" t="b">
        <v>0</v>
      </c>
      <c r="L367" t="b">
        <v>1</v>
      </c>
      <c r="M367" t="s">
        <v>1020</v>
      </c>
      <c r="N367" t="s">
        <v>989</v>
      </c>
      <c r="O367" t="s">
        <v>1021</v>
      </c>
      <c r="P367" t="s">
        <v>1022</v>
      </c>
      <c r="Q367" t="s">
        <v>1023</v>
      </c>
    </row>
    <row r="368" spans="1:17" x14ac:dyDescent="0.25">
      <c r="A368" t="s">
        <v>42</v>
      </c>
      <c r="B368" t="s">
        <v>1659</v>
      </c>
      <c r="C368" t="s">
        <v>403</v>
      </c>
      <c r="D368" t="s">
        <v>1008</v>
      </c>
      <c r="E368">
        <v>17365</v>
      </c>
      <c r="F368" t="s">
        <v>1018</v>
      </c>
      <c r="G368" t="s">
        <v>987</v>
      </c>
      <c r="H368" t="s">
        <v>1581</v>
      </c>
      <c r="I368" t="s">
        <v>987</v>
      </c>
      <c r="J368" t="s">
        <v>987</v>
      </c>
      <c r="K368" t="b">
        <v>0</v>
      </c>
      <c r="L368" t="b">
        <v>1</v>
      </c>
      <c r="M368" t="s">
        <v>1020</v>
      </c>
      <c r="N368" t="s">
        <v>989</v>
      </c>
      <c r="O368" t="s">
        <v>1021</v>
      </c>
      <c r="P368" t="s">
        <v>1022</v>
      </c>
      <c r="Q368" t="s">
        <v>1023</v>
      </c>
    </row>
    <row r="369" spans="1:17" x14ac:dyDescent="0.25">
      <c r="A369" t="s">
        <v>42</v>
      </c>
      <c r="B369" t="s">
        <v>1660</v>
      </c>
      <c r="C369" t="s">
        <v>403</v>
      </c>
      <c r="D369" t="s">
        <v>1010</v>
      </c>
      <c r="E369">
        <v>20804</v>
      </c>
      <c r="F369" t="s">
        <v>1018</v>
      </c>
      <c r="G369" t="s">
        <v>987</v>
      </c>
      <c r="H369" t="s">
        <v>1581</v>
      </c>
      <c r="I369" t="s">
        <v>987</v>
      </c>
      <c r="J369" t="s">
        <v>987</v>
      </c>
      <c r="K369" t="b">
        <v>0</v>
      </c>
      <c r="L369" t="b">
        <v>1</v>
      </c>
      <c r="M369" t="s">
        <v>1020</v>
      </c>
      <c r="N369" t="s">
        <v>989</v>
      </c>
      <c r="O369" t="s">
        <v>1021</v>
      </c>
      <c r="P369" t="s">
        <v>1022</v>
      </c>
      <c r="Q369" t="s">
        <v>1023</v>
      </c>
    </row>
    <row r="370" spans="1:17" x14ac:dyDescent="0.25">
      <c r="A370" t="s">
        <v>42</v>
      </c>
      <c r="B370" t="s">
        <v>1661</v>
      </c>
      <c r="C370" t="s">
        <v>403</v>
      </c>
      <c r="D370" t="s">
        <v>1012</v>
      </c>
      <c r="E370">
        <v>20806</v>
      </c>
      <c r="F370" t="s">
        <v>1018</v>
      </c>
      <c r="G370" t="s">
        <v>987</v>
      </c>
      <c r="H370" t="s">
        <v>1581</v>
      </c>
      <c r="I370" t="s">
        <v>987</v>
      </c>
      <c r="J370" t="s">
        <v>987</v>
      </c>
      <c r="K370" t="b">
        <v>0</v>
      </c>
      <c r="L370" t="b">
        <v>1</v>
      </c>
      <c r="M370" t="s">
        <v>1020</v>
      </c>
      <c r="N370" t="s">
        <v>989</v>
      </c>
      <c r="O370" t="s">
        <v>1021</v>
      </c>
      <c r="P370" t="s">
        <v>1022</v>
      </c>
      <c r="Q370" t="s">
        <v>1023</v>
      </c>
    </row>
    <row r="371" spans="1:17" x14ac:dyDescent="0.25">
      <c r="A371" t="s">
        <v>42</v>
      </c>
      <c r="B371" t="s">
        <v>1662</v>
      </c>
      <c r="C371" t="s">
        <v>403</v>
      </c>
      <c r="D371" t="s">
        <v>1014</v>
      </c>
      <c r="E371">
        <v>21794</v>
      </c>
      <c r="F371" t="s">
        <v>1018</v>
      </c>
      <c r="G371" t="s">
        <v>987</v>
      </c>
      <c r="H371" t="s">
        <v>1581</v>
      </c>
      <c r="I371" t="s">
        <v>987</v>
      </c>
      <c r="J371" t="s">
        <v>987</v>
      </c>
      <c r="K371" t="b">
        <v>0</v>
      </c>
      <c r="L371" t="b">
        <v>1</v>
      </c>
      <c r="M371" t="s">
        <v>1020</v>
      </c>
      <c r="N371" t="s">
        <v>989</v>
      </c>
      <c r="O371" t="s">
        <v>1021</v>
      </c>
      <c r="P371" t="s">
        <v>1022</v>
      </c>
      <c r="Q371" t="s">
        <v>1023</v>
      </c>
    </row>
    <row r="372" spans="1:17" x14ac:dyDescent="0.25">
      <c r="A372" t="s">
        <v>42</v>
      </c>
      <c r="B372" t="s">
        <v>1663</v>
      </c>
      <c r="C372" t="s">
        <v>403</v>
      </c>
      <c r="D372" t="s">
        <v>1016</v>
      </c>
      <c r="E372">
        <v>26211</v>
      </c>
      <c r="F372" t="s">
        <v>1018</v>
      </c>
      <c r="G372" t="s">
        <v>987</v>
      </c>
      <c r="H372" t="s">
        <v>1581</v>
      </c>
      <c r="I372" t="s">
        <v>987</v>
      </c>
      <c r="J372" t="s">
        <v>987</v>
      </c>
      <c r="K372" t="b">
        <v>0</v>
      </c>
      <c r="L372" t="b">
        <v>1</v>
      </c>
      <c r="M372" t="s">
        <v>1020</v>
      </c>
      <c r="N372" t="s">
        <v>989</v>
      </c>
      <c r="O372" t="s">
        <v>1021</v>
      </c>
      <c r="P372" t="s">
        <v>1022</v>
      </c>
      <c r="Q372" t="s">
        <v>1023</v>
      </c>
    </row>
    <row r="373" spans="1:17" x14ac:dyDescent="0.25">
      <c r="A373" t="s">
        <v>42</v>
      </c>
      <c r="B373" t="s">
        <v>1664</v>
      </c>
      <c r="C373" t="s">
        <v>403</v>
      </c>
      <c r="D373" t="s">
        <v>1115</v>
      </c>
      <c r="E373">
        <v>23244</v>
      </c>
      <c r="F373" t="s">
        <v>1018</v>
      </c>
      <c r="G373" t="s">
        <v>987</v>
      </c>
      <c r="H373" t="s">
        <v>1581</v>
      </c>
      <c r="I373" t="s">
        <v>987</v>
      </c>
      <c r="J373" t="s">
        <v>987</v>
      </c>
      <c r="K373" t="b">
        <v>0</v>
      </c>
      <c r="L373" t="b">
        <v>1</v>
      </c>
      <c r="M373" t="s">
        <v>1020</v>
      </c>
      <c r="N373" t="s">
        <v>989</v>
      </c>
      <c r="O373" t="s">
        <v>1021</v>
      </c>
      <c r="P373" t="s">
        <v>1022</v>
      </c>
      <c r="Q373" t="s">
        <v>1023</v>
      </c>
    </row>
    <row r="374" spans="1:17" x14ac:dyDescent="0.25">
      <c r="A374" t="s">
        <v>44</v>
      </c>
      <c r="B374" t="s">
        <v>1665</v>
      </c>
      <c r="C374" t="s">
        <v>446</v>
      </c>
      <c r="D374" t="s">
        <v>985</v>
      </c>
      <c r="E374">
        <v>0</v>
      </c>
      <c r="F374" t="s">
        <v>986</v>
      </c>
      <c r="G374" t="s">
        <v>987</v>
      </c>
      <c r="H374" t="s">
        <v>1666</v>
      </c>
      <c r="I374" t="s">
        <v>987</v>
      </c>
      <c r="J374" t="s">
        <v>987</v>
      </c>
      <c r="K374" t="b">
        <v>1</v>
      </c>
      <c r="L374" t="b">
        <v>0</v>
      </c>
      <c r="M374" t="s">
        <v>987</v>
      </c>
      <c r="N374" t="s">
        <v>989</v>
      </c>
      <c r="O374" t="s">
        <v>1021</v>
      </c>
      <c r="P374" t="s">
        <v>1667</v>
      </c>
      <c r="Q374" t="s">
        <v>1668</v>
      </c>
    </row>
    <row r="375" spans="1:17" x14ac:dyDescent="0.25">
      <c r="A375" t="s">
        <v>44</v>
      </c>
      <c r="B375" t="s">
        <v>1669</v>
      </c>
      <c r="C375" t="s">
        <v>446</v>
      </c>
      <c r="D375" t="s">
        <v>994</v>
      </c>
      <c r="E375">
        <v>0</v>
      </c>
      <c r="F375" t="s">
        <v>986</v>
      </c>
      <c r="G375" t="s">
        <v>987</v>
      </c>
      <c r="H375" t="s">
        <v>1666</v>
      </c>
      <c r="I375" t="s">
        <v>987</v>
      </c>
      <c r="J375" t="s">
        <v>987</v>
      </c>
      <c r="K375" t="b">
        <v>1</v>
      </c>
      <c r="L375" t="b">
        <v>0</v>
      </c>
      <c r="M375" t="s">
        <v>987</v>
      </c>
      <c r="N375" t="s">
        <v>989</v>
      </c>
      <c r="O375" t="s">
        <v>1021</v>
      </c>
      <c r="P375" t="s">
        <v>1667</v>
      </c>
      <c r="Q375" t="s">
        <v>1668</v>
      </c>
    </row>
    <row r="376" spans="1:17" x14ac:dyDescent="0.25">
      <c r="A376" t="s">
        <v>44</v>
      </c>
      <c r="B376" t="s">
        <v>1670</v>
      </c>
      <c r="C376" t="s">
        <v>446</v>
      </c>
      <c r="D376" t="s">
        <v>996</v>
      </c>
      <c r="E376">
        <v>0</v>
      </c>
      <c r="F376" t="s">
        <v>986</v>
      </c>
      <c r="G376" t="s">
        <v>987</v>
      </c>
      <c r="H376" t="s">
        <v>1666</v>
      </c>
      <c r="I376" t="s">
        <v>987</v>
      </c>
      <c r="J376" t="s">
        <v>987</v>
      </c>
      <c r="K376" t="b">
        <v>1</v>
      </c>
      <c r="L376" t="b">
        <v>0</v>
      </c>
      <c r="M376" t="s">
        <v>987</v>
      </c>
      <c r="N376" t="s">
        <v>989</v>
      </c>
      <c r="O376" t="s">
        <v>1021</v>
      </c>
      <c r="P376" t="s">
        <v>1667</v>
      </c>
      <c r="Q376" t="s">
        <v>1668</v>
      </c>
    </row>
    <row r="377" spans="1:17" x14ac:dyDescent="0.25">
      <c r="A377" t="s">
        <v>44</v>
      </c>
      <c r="B377" t="s">
        <v>1671</v>
      </c>
      <c r="C377" t="s">
        <v>446</v>
      </c>
      <c r="D377" t="s">
        <v>998</v>
      </c>
      <c r="E377">
        <v>0</v>
      </c>
      <c r="F377" t="s">
        <v>986</v>
      </c>
      <c r="G377" t="s">
        <v>987</v>
      </c>
      <c r="H377" t="s">
        <v>1666</v>
      </c>
      <c r="I377" t="s">
        <v>987</v>
      </c>
      <c r="J377" t="s">
        <v>987</v>
      </c>
      <c r="K377" t="b">
        <v>1</v>
      </c>
      <c r="L377" t="b">
        <v>0</v>
      </c>
      <c r="M377" t="s">
        <v>987</v>
      </c>
      <c r="N377" t="s">
        <v>989</v>
      </c>
      <c r="O377" t="s">
        <v>1021</v>
      </c>
      <c r="P377" t="s">
        <v>1667</v>
      </c>
      <c r="Q377" t="s">
        <v>1668</v>
      </c>
    </row>
    <row r="378" spans="1:17" x14ac:dyDescent="0.25">
      <c r="A378" t="s">
        <v>44</v>
      </c>
      <c r="B378" t="s">
        <v>1672</v>
      </c>
      <c r="C378" t="s">
        <v>446</v>
      </c>
      <c r="D378" t="s">
        <v>1000</v>
      </c>
      <c r="E378">
        <v>0</v>
      </c>
      <c r="F378" t="s">
        <v>986</v>
      </c>
      <c r="G378" t="s">
        <v>987</v>
      </c>
      <c r="H378" t="s">
        <v>1666</v>
      </c>
      <c r="I378" t="s">
        <v>987</v>
      </c>
      <c r="J378" t="s">
        <v>987</v>
      </c>
      <c r="K378" t="b">
        <v>1</v>
      </c>
      <c r="L378" t="b">
        <v>0</v>
      </c>
      <c r="M378" t="s">
        <v>987</v>
      </c>
      <c r="N378" t="s">
        <v>989</v>
      </c>
      <c r="O378" t="s">
        <v>1021</v>
      </c>
      <c r="P378" t="s">
        <v>1667</v>
      </c>
      <c r="Q378" t="s">
        <v>1668</v>
      </c>
    </row>
    <row r="379" spans="1:17" x14ac:dyDescent="0.25">
      <c r="A379" t="s">
        <v>44</v>
      </c>
      <c r="B379" t="s">
        <v>1673</v>
      </c>
      <c r="C379" t="s">
        <v>446</v>
      </c>
      <c r="D379" t="s">
        <v>1002</v>
      </c>
      <c r="E379">
        <v>0</v>
      </c>
      <c r="F379" t="s">
        <v>986</v>
      </c>
      <c r="G379" t="s">
        <v>987</v>
      </c>
      <c r="H379" t="s">
        <v>1666</v>
      </c>
      <c r="I379" t="s">
        <v>987</v>
      </c>
      <c r="J379" t="s">
        <v>987</v>
      </c>
      <c r="K379" t="b">
        <v>1</v>
      </c>
      <c r="L379" t="b">
        <v>0</v>
      </c>
      <c r="M379" t="s">
        <v>987</v>
      </c>
      <c r="N379" t="s">
        <v>989</v>
      </c>
      <c r="O379" t="s">
        <v>1021</v>
      </c>
      <c r="P379" t="s">
        <v>1667</v>
      </c>
      <c r="Q379" t="s">
        <v>1668</v>
      </c>
    </row>
    <row r="380" spans="1:17" x14ac:dyDescent="0.25">
      <c r="A380" t="s">
        <v>44</v>
      </c>
      <c r="B380" t="s">
        <v>1674</v>
      </c>
      <c r="C380" t="s">
        <v>446</v>
      </c>
      <c r="D380" t="s">
        <v>1004</v>
      </c>
      <c r="E380">
        <v>0</v>
      </c>
      <c r="F380" t="s">
        <v>986</v>
      </c>
      <c r="G380" t="s">
        <v>987</v>
      </c>
      <c r="H380" t="s">
        <v>1666</v>
      </c>
      <c r="I380" t="s">
        <v>987</v>
      </c>
      <c r="J380" t="s">
        <v>987</v>
      </c>
      <c r="K380" t="b">
        <v>1</v>
      </c>
      <c r="L380" t="b">
        <v>0</v>
      </c>
      <c r="M380" t="s">
        <v>987</v>
      </c>
      <c r="N380" t="s">
        <v>989</v>
      </c>
      <c r="O380" t="s">
        <v>1021</v>
      </c>
      <c r="P380" t="s">
        <v>1667</v>
      </c>
      <c r="Q380" t="s">
        <v>1668</v>
      </c>
    </row>
    <row r="381" spans="1:17" x14ac:dyDescent="0.25">
      <c r="A381" t="s">
        <v>44</v>
      </c>
      <c r="B381" t="s">
        <v>1675</v>
      </c>
      <c r="C381" t="s">
        <v>446</v>
      </c>
      <c r="D381" t="s">
        <v>1006</v>
      </c>
      <c r="E381">
        <v>0</v>
      </c>
      <c r="F381" t="s">
        <v>986</v>
      </c>
      <c r="G381" t="s">
        <v>987</v>
      </c>
      <c r="H381" t="s">
        <v>1666</v>
      </c>
      <c r="I381" t="s">
        <v>987</v>
      </c>
      <c r="J381" t="s">
        <v>987</v>
      </c>
      <c r="K381" t="b">
        <v>1</v>
      </c>
      <c r="L381" t="b">
        <v>0</v>
      </c>
      <c r="M381" t="s">
        <v>987</v>
      </c>
      <c r="N381" t="s">
        <v>989</v>
      </c>
      <c r="O381" t="s">
        <v>1021</v>
      </c>
      <c r="P381" t="s">
        <v>1667</v>
      </c>
      <c r="Q381" t="s">
        <v>1668</v>
      </c>
    </row>
    <row r="382" spans="1:17" x14ac:dyDescent="0.25">
      <c r="A382" t="s">
        <v>44</v>
      </c>
      <c r="B382" t="s">
        <v>1676</v>
      </c>
      <c r="C382" t="s">
        <v>446</v>
      </c>
      <c r="D382" t="s">
        <v>1008</v>
      </c>
      <c r="E382">
        <v>0</v>
      </c>
      <c r="F382" t="s">
        <v>986</v>
      </c>
      <c r="G382" t="s">
        <v>987</v>
      </c>
      <c r="H382" t="s">
        <v>1666</v>
      </c>
      <c r="I382" t="s">
        <v>987</v>
      </c>
      <c r="J382" t="s">
        <v>987</v>
      </c>
      <c r="K382" t="b">
        <v>1</v>
      </c>
      <c r="L382" t="b">
        <v>0</v>
      </c>
      <c r="M382" t="s">
        <v>987</v>
      </c>
      <c r="N382" t="s">
        <v>989</v>
      </c>
      <c r="O382" t="s">
        <v>1021</v>
      </c>
      <c r="P382" t="s">
        <v>1667</v>
      </c>
      <c r="Q382" t="s">
        <v>1668</v>
      </c>
    </row>
    <row r="383" spans="1:17" x14ac:dyDescent="0.25">
      <c r="A383" t="s">
        <v>44</v>
      </c>
      <c r="B383" t="s">
        <v>1677</v>
      </c>
      <c r="C383" t="s">
        <v>446</v>
      </c>
      <c r="D383" t="s">
        <v>1010</v>
      </c>
      <c r="E383">
        <v>0</v>
      </c>
      <c r="F383" t="s">
        <v>986</v>
      </c>
      <c r="G383" t="s">
        <v>987</v>
      </c>
      <c r="H383" t="s">
        <v>1666</v>
      </c>
      <c r="I383" t="s">
        <v>987</v>
      </c>
      <c r="J383" t="s">
        <v>987</v>
      </c>
      <c r="K383" t="b">
        <v>1</v>
      </c>
      <c r="L383" t="b">
        <v>0</v>
      </c>
      <c r="M383" t="s">
        <v>987</v>
      </c>
      <c r="N383" t="s">
        <v>989</v>
      </c>
      <c r="O383" t="s">
        <v>1021</v>
      </c>
      <c r="P383" t="s">
        <v>1667</v>
      </c>
      <c r="Q383" t="s">
        <v>1668</v>
      </c>
    </row>
    <row r="384" spans="1:17" x14ac:dyDescent="0.25">
      <c r="A384" t="s">
        <v>44</v>
      </c>
      <c r="B384" t="s">
        <v>1678</v>
      </c>
      <c r="C384" t="s">
        <v>446</v>
      </c>
      <c r="D384" t="s">
        <v>1012</v>
      </c>
      <c r="E384">
        <v>0</v>
      </c>
      <c r="F384" t="s">
        <v>986</v>
      </c>
      <c r="G384" t="s">
        <v>987</v>
      </c>
      <c r="H384" t="s">
        <v>1666</v>
      </c>
      <c r="I384" t="s">
        <v>987</v>
      </c>
      <c r="J384" t="s">
        <v>987</v>
      </c>
      <c r="K384" t="b">
        <v>1</v>
      </c>
      <c r="L384" t="b">
        <v>0</v>
      </c>
      <c r="M384" t="s">
        <v>987</v>
      </c>
      <c r="N384" t="s">
        <v>989</v>
      </c>
      <c r="O384" t="s">
        <v>1021</v>
      </c>
      <c r="P384" t="s">
        <v>1667</v>
      </c>
      <c r="Q384" t="s">
        <v>1668</v>
      </c>
    </row>
    <row r="385" spans="1:17" x14ac:dyDescent="0.25">
      <c r="A385" t="s">
        <v>44</v>
      </c>
      <c r="B385" t="s">
        <v>1679</v>
      </c>
      <c r="C385" t="s">
        <v>446</v>
      </c>
      <c r="D385" t="s">
        <v>1014</v>
      </c>
      <c r="E385">
        <v>0</v>
      </c>
      <c r="F385" t="s">
        <v>986</v>
      </c>
      <c r="G385" t="s">
        <v>987</v>
      </c>
      <c r="H385" t="s">
        <v>1666</v>
      </c>
      <c r="I385" t="s">
        <v>987</v>
      </c>
      <c r="J385" t="s">
        <v>987</v>
      </c>
      <c r="K385" t="b">
        <v>1</v>
      </c>
      <c r="L385" t="b">
        <v>0</v>
      </c>
      <c r="M385" t="s">
        <v>987</v>
      </c>
      <c r="N385" t="s">
        <v>989</v>
      </c>
      <c r="O385" t="s">
        <v>1021</v>
      </c>
      <c r="P385" t="s">
        <v>1667</v>
      </c>
      <c r="Q385" t="s">
        <v>1668</v>
      </c>
    </row>
    <row r="386" spans="1:17" x14ac:dyDescent="0.25">
      <c r="A386" t="s">
        <v>44</v>
      </c>
      <c r="B386" t="s">
        <v>1680</v>
      </c>
      <c r="C386" t="s">
        <v>446</v>
      </c>
      <c r="D386" t="s">
        <v>1016</v>
      </c>
      <c r="E386">
        <v>0</v>
      </c>
      <c r="F386" t="s">
        <v>986</v>
      </c>
      <c r="G386" t="s">
        <v>987</v>
      </c>
      <c r="H386" t="s">
        <v>1666</v>
      </c>
      <c r="I386" t="s">
        <v>987</v>
      </c>
      <c r="J386" t="s">
        <v>987</v>
      </c>
      <c r="K386" t="b">
        <v>1</v>
      </c>
      <c r="L386" t="b">
        <v>0</v>
      </c>
      <c r="M386" t="s">
        <v>987</v>
      </c>
      <c r="N386" t="s">
        <v>989</v>
      </c>
      <c r="O386" t="s">
        <v>1021</v>
      </c>
      <c r="P386" t="s">
        <v>1667</v>
      </c>
      <c r="Q386" t="s">
        <v>1668</v>
      </c>
    </row>
    <row r="387" spans="1:17" x14ac:dyDescent="0.25">
      <c r="A387" t="s">
        <v>44</v>
      </c>
      <c r="B387" t="s">
        <v>1681</v>
      </c>
      <c r="C387" t="s">
        <v>446</v>
      </c>
      <c r="D387" t="s">
        <v>1115</v>
      </c>
      <c r="E387">
        <v>0</v>
      </c>
      <c r="F387" t="s">
        <v>986</v>
      </c>
      <c r="G387" t="s">
        <v>987</v>
      </c>
      <c r="H387" t="s">
        <v>1666</v>
      </c>
      <c r="I387" t="s">
        <v>987</v>
      </c>
      <c r="J387" t="s">
        <v>987</v>
      </c>
      <c r="K387" t="b">
        <v>1</v>
      </c>
      <c r="L387" t="b">
        <v>0</v>
      </c>
      <c r="M387" t="s">
        <v>987</v>
      </c>
      <c r="N387" t="s">
        <v>989</v>
      </c>
      <c r="O387" t="s">
        <v>1021</v>
      </c>
      <c r="P387" t="s">
        <v>1667</v>
      </c>
      <c r="Q387" t="s">
        <v>1668</v>
      </c>
    </row>
    <row r="388" spans="1:17" x14ac:dyDescent="0.25">
      <c r="A388" t="s">
        <v>44</v>
      </c>
      <c r="B388" t="s">
        <v>1682</v>
      </c>
      <c r="C388" t="s">
        <v>446</v>
      </c>
      <c r="D388" t="s">
        <v>985</v>
      </c>
      <c r="E388">
        <v>0</v>
      </c>
      <c r="F388" t="s">
        <v>986</v>
      </c>
      <c r="G388" t="s">
        <v>987</v>
      </c>
      <c r="H388" t="s">
        <v>1666</v>
      </c>
      <c r="I388" t="s">
        <v>987</v>
      </c>
      <c r="J388" t="s">
        <v>987</v>
      </c>
      <c r="K388" t="b">
        <v>1</v>
      </c>
      <c r="L388" t="b">
        <v>0</v>
      </c>
      <c r="M388" t="s">
        <v>987</v>
      </c>
      <c r="N388" t="s">
        <v>989</v>
      </c>
      <c r="O388" t="s">
        <v>1021</v>
      </c>
      <c r="P388" t="s">
        <v>1667</v>
      </c>
      <c r="Q388" t="s">
        <v>1668</v>
      </c>
    </row>
    <row r="389" spans="1:17" x14ac:dyDescent="0.25">
      <c r="A389" t="s">
        <v>44</v>
      </c>
      <c r="B389" t="s">
        <v>1683</v>
      </c>
      <c r="C389" t="s">
        <v>446</v>
      </c>
      <c r="D389" t="s">
        <v>994</v>
      </c>
      <c r="E389">
        <v>0</v>
      </c>
      <c r="F389" t="s">
        <v>986</v>
      </c>
      <c r="G389" t="s">
        <v>987</v>
      </c>
      <c r="H389" t="s">
        <v>1666</v>
      </c>
      <c r="I389" t="s">
        <v>987</v>
      </c>
      <c r="J389" t="s">
        <v>987</v>
      </c>
      <c r="K389" t="b">
        <v>1</v>
      </c>
      <c r="L389" t="b">
        <v>0</v>
      </c>
      <c r="M389" t="s">
        <v>987</v>
      </c>
      <c r="N389" t="s">
        <v>989</v>
      </c>
      <c r="O389" t="s">
        <v>1021</v>
      </c>
      <c r="P389" t="s">
        <v>1667</v>
      </c>
      <c r="Q389" t="s">
        <v>1668</v>
      </c>
    </row>
    <row r="390" spans="1:17" x14ac:dyDescent="0.25">
      <c r="A390" t="s">
        <v>44</v>
      </c>
      <c r="B390" t="s">
        <v>1684</v>
      </c>
      <c r="C390" t="s">
        <v>446</v>
      </c>
      <c r="D390" t="s">
        <v>996</v>
      </c>
      <c r="E390">
        <v>0</v>
      </c>
      <c r="F390" t="s">
        <v>986</v>
      </c>
      <c r="G390" t="s">
        <v>987</v>
      </c>
      <c r="H390" t="s">
        <v>1666</v>
      </c>
      <c r="I390" t="s">
        <v>987</v>
      </c>
      <c r="J390" t="s">
        <v>987</v>
      </c>
      <c r="K390" t="b">
        <v>1</v>
      </c>
      <c r="L390" t="b">
        <v>0</v>
      </c>
      <c r="M390" t="s">
        <v>987</v>
      </c>
      <c r="N390" t="s">
        <v>989</v>
      </c>
      <c r="O390" t="s">
        <v>1021</v>
      </c>
      <c r="P390" t="s">
        <v>1667</v>
      </c>
      <c r="Q390" t="s">
        <v>1668</v>
      </c>
    </row>
    <row r="391" spans="1:17" x14ac:dyDescent="0.25">
      <c r="A391" t="s">
        <v>44</v>
      </c>
      <c r="B391" t="s">
        <v>1685</v>
      </c>
      <c r="C391" t="s">
        <v>446</v>
      </c>
      <c r="D391" t="s">
        <v>998</v>
      </c>
      <c r="E391">
        <v>0</v>
      </c>
      <c r="F391" t="s">
        <v>986</v>
      </c>
      <c r="G391" t="s">
        <v>987</v>
      </c>
      <c r="H391" t="s">
        <v>1666</v>
      </c>
      <c r="I391" t="s">
        <v>987</v>
      </c>
      <c r="J391" t="s">
        <v>987</v>
      </c>
      <c r="K391" t="b">
        <v>1</v>
      </c>
      <c r="L391" t="b">
        <v>0</v>
      </c>
      <c r="M391" t="s">
        <v>987</v>
      </c>
      <c r="N391" t="s">
        <v>989</v>
      </c>
      <c r="O391" t="s">
        <v>1021</v>
      </c>
      <c r="P391" t="s">
        <v>1667</v>
      </c>
      <c r="Q391" t="s">
        <v>1668</v>
      </c>
    </row>
    <row r="392" spans="1:17" x14ac:dyDescent="0.25">
      <c r="A392" t="s">
        <v>44</v>
      </c>
      <c r="B392" t="s">
        <v>1686</v>
      </c>
      <c r="C392" t="s">
        <v>446</v>
      </c>
      <c r="D392" t="s">
        <v>1000</v>
      </c>
      <c r="E392">
        <v>0</v>
      </c>
      <c r="F392" t="s">
        <v>986</v>
      </c>
      <c r="G392" t="s">
        <v>987</v>
      </c>
      <c r="H392" t="s">
        <v>1666</v>
      </c>
      <c r="I392" t="s">
        <v>987</v>
      </c>
      <c r="J392" t="s">
        <v>987</v>
      </c>
      <c r="K392" t="b">
        <v>1</v>
      </c>
      <c r="L392" t="b">
        <v>0</v>
      </c>
      <c r="M392" t="s">
        <v>987</v>
      </c>
      <c r="N392" t="s">
        <v>989</v>
      </c>
      <c r="O392" t="s">
        <v>1021</v>
      </c>
      <c r="P392" t="s">
        <v>1667</v>
      </c>
      <c r="Q392" t="s">
        <v>1668</v>
      </c>
    </row>
    <row r="393" spans="1:17" x14ac:dyDescent="0.25">
      <c r="A393" t="s">
        <v>44</v>
      </c>
      <c r="B393" t="s">
        <v>1687</v>
      </c>
      <c r="C393" t="s">
        <v>446</v>
      </c>
      <c r="D393" t="s">
        <v>1002</v>
      </c>
      <c r="E393">
        <v>0</v>
      </c>
      <c r="F393" t="s">
        <v>986</v>
      </c>
      <c r="G393" t="s">
        <v>987</v>
      </c>
      <c r="H393" t="s">
        <v>1666</v>
      </c>
      <c r="I393" t="s">
        <v>987</v>
      </c>
      <c r="J393" t="s">
        <v>987</v>
      </c>
      <c r="K393" t="b">
        <v>1</v>
      </c>
      <c r="L393" t="b">
        <v>0</v>
      </c>
      <c r="M393" t="s">
        <v>987</v>
      </c>
      <c r="N393" t="s">
        <v>989</v>
      </c>
      <c r="O393" t="s">
        <v>1021</v>
      </c>
      <c r="P393" t="s">
        <v>1667</v>
      </c>
      <c r="Q393" t="s">
        <v>1668</v>
      </c>
    </row>
    <row r="394" spans="1:17" x14ac:dyDescent="0.25">
      <c r="A394" t="s">
        <v>44</v>
      </c>
      <c r="B394" t="s">
        <v>1688</v>
      </c>
      <c r="C394" t="s">
        <v>446</v>
      </c>
      <c r="D394" t="s">
        <v>1004</v>
      </c>
      <c r="E394">
        <v>0</v>
      </c>
      <c r="F394" t="s">
        <v>986</v>
      </c>
      <c r="G394" t="s">
        <v>987</v>
      </c>
      <c r="H394" t="s">
        <v>1666</v>
      </c>
      <c r="I394" t="s">
        <v>987</v>
      </c>
      <c r="J394" t="s">
        <v>987</v>
      </c>
      <c r="K394" t="b">
        <v>1</v>
      </c>
      <c r="L394" t="b">
        <v>0</v>
      </c>
      <c r="M394" t="s">
        <v>987</v>
      </c>
      <c r="N394" t="s">
        <v>989</v>
      </c>
      <c r="O394" t="s">
        <v>1021</v>
      </c>
      <c r="P394" t="s">
        <v>1667</v>
      </c>
      <c r="Q394" t="s">
        <v>1668</v>
      </c>
    </row>
    <row r="395" spans="1:17" x14ac:dyDescent="0.25">
      <c r="A395" t="s">
        <v>44</v>
      </c>
      <c r="B395" t="s">
        <v>1689</v>
      </c>
      <c r="C395" t="s">
        <v>446</v>
      </c>
      <c r="D395" t="s">
        <v>1006</v>
      </c>
      <c r="E395">
        <v>0</v>
      </c>
      <c r="F395" t="s">
        <v>986</v>
      </c>
      <c r="G395" t="s">
        <v>987</v>
      </c>
      <c r="H395" t="s">
        <v>1666</v>
      </c>
      <c r="I395" t="s">
        <v>987</v>
      </c>
      <c r="J395" t="s">
        <v>987</v>
      </c>
      <c r="K395" t="b">
        <v>1</v>
      </c>
      <c r="L395" t="b">
        <v>0</v>
      </c>
      <c r="M395" t="s">
        <v>987</v>
      </c>
      <c r="N395" t="s">
        <v>989</v>
      </c>
      <c r="O395" t="s">
        <v>1021</v>
      </c>
      <c r="P395" t="s">
        <v>1667</v>
      </c>
      <c r="Q395" t="s">
        <v>1668</v>
      </c>
    </row>
    <row r="396" spans="1:17" x14ac:dyDescent="0.25">
      <c r="A396" t="s">
        <v>44</v>
      </c>
      <c r="B396" t="s">
        <v>1690</v>
      </c>
      <c r="C396" t="s">
        <v>446</v>
      </c>
      <c r="D396" t="s">
        <v>1008</v>
      </c>
      <c r="E396">
        <v>0</v>
      </c>
      <c r="F396" t="s">
        <v>986</v>
      </c>
      <c r="G396" t="s">
        <v>987</v>
      </c>
      <c r="H396" t="s">
        <v>1666</v>
      </c>
      <c r="I396" t="s">
        <v>987</v>
      </c>
      <c r="J396" t="s">
        <v>987</v>
      </c>
      <c r="K396" t="b">
        <v>1</v>
      </c>
      <c r="L396" t="b">
        <v>0</v>
      </c>
      <c r="M396" t="s">
        <v>987</v>
      </c>
      <c r="N396" t="s">
        <v>989</v>
      </c>
      <c r="O396" t="s">
        <v>1021</v>
      </c>
      <c r="P396" t="s">
        <v>1667</v>
      </c>
      <c r="Q396" t="s">
        <v>1668</v>
      </c>
    </row>
    <row r="397" spans="1:17" x14ac:dyDescent="0.25">
      <c r="A397" t="s">
        <v>44</v>
      </c>
      <c r="B397" t="s">
        <v>1691</v>
      </c>
      <c r="C397" t="s">
        <v>446</v>
      </c>
      <c r="D397" t="s">
        <v>1010</v>
      </c>
      <c r="E397">
        <v>0</v>
      </c>
      <c r="F397" t="s">
        <v>986</v>
      </c>
      <c r="G397" t="s">
        <v>987</v>
      </c>
      <c r="H397" t="s">
        <v>1666</v>
      </c>
      <c r="I397" t="s">
        <v>987</v>
      </c>
      <c r="J397" t="s">
        <v>987</v>
      </c>
      <c r="K397" t="b">
        <v>1</v>
      </c>
      <c r="L397" t="b">
        <v>0</v>
      </c>
      <c r="M397" t="s">
        <v>987</v>
      </c>
      <c r="N397" t="s">
        <v>989</v>
      </c>
      <c r="O397" t="s">
        <v>1021</v>
      </c>
      <c r="P397" t="s">
        <v>1667</v>
      </c>
      <c r="Q397" t="s">
        <v>1668</v>
      </c>
    </row>
    <row r="398" spans="1:17" x14ac:dyDescent="0.25">
      <c r="A398" t="s">
        <v>44</v>
      </c>
      <c r="B398" t="s">
        <v>1692</v>
      </c>
      <c r="C398" t="s">
        <v>446</v>
      </c>
      <c r="D398" t="s">
        <v>1012</v>
      </c>
      <c r="E398">
        <v>0</v>
      </c>
      <c r="F398" t="s">
        <v>986</v>
      </c>
      <c r="G398" t="s">
        <v>987</v>
      </c>
      <c r="H398" t="s">
        <v>1666</v>
      </c>
      <c r="I398" t="s">
        <v>987</v>
      </c>
      <c r="J398" t="s">
        <v>987</v>
      </c>
      <c r="K398" t="b">
        <v>1</v>
      </c>
      <c r="L398" t="b">
        <v>0</v>
      </c>
      <c r="M398" t="s">
        <v>987</v>
      </c>
      <c r="N398" t="s">
        <v>989</v>
      </c>
      <c r="O398" t="s">
        <v>1021</v>
      </c>
      <c r="P398" t="s">
        <v>1667</v>
      </c>
      <c r="Q398" t="s">
        <v>1668</v>
      </c>
    </row>
    <row r="399" spans="1:17" x14ac:dyDescent="0.25">
      <c r="A399" t="s">
        <v>44</v>
      </c>
      <c r="B399" t="s">
        <v>1693</v>
      </c>
      <c r="C399" t="s">
        <v>446</v>
      </c>
      <c r="D399" t="s">
        <v>1014</v>
      </c>
      <c r="E399">
        <v>0</v>
      </c>
      <c r="F399" t="s">
        <v>986</v>
      </c>
      <c r="G399" t="s">
        <v>987</v>
      </c>
      <c r="H399" t="s">
        <v>1666</v>
      </c>
      <c r="I399" t="s">
        <v>987</v>
      </c>
      <c r="J399" t="s">
        <v>987</v>
      </c>
      <c r="K399" t="b">
        <v>1</v>
      </c>
      <c r="L399" t="b">
        <v>0</v>
      </c>
      <c r="M399" t="s">
        <v>987</v>
      </c>
      <c r="N399" t="s">
        <v>989</v>
      </c>
      <c r="O399" t="s">
        <v>1021</v>
      </c>
      <c r="P399" t="s">
        <v>1667</v>
      </c>
      <c r="Q399" t="s">
        <v>1668</v>
      </c>
    </row>
    <row r="400" spans="1:17" x14ac:dyDescent="0.25">
      <c r="A400" t="s">
        <v>44</v>
      </c>
      <c r="B400" t="s">
        <v>1694</v>
      </c>
      <c r="C400" t="s">
        <v>446</v>
      </c>
      <c r="D400" t="s">
        <v>1016</v>
      </c>
      <c r="E400">
        <v>0</v>
      </c>
      <c r="F400" t="s">
        <v>986</v>
      </c>
      <c r="G400" t="s">
        <v>987</v>
      </c>
      <c r="H400" t="s">
        <v>1666</v>
      </c>
      <c r="I400" t="s">
        <v>987</v>
      </c>
      <c r="J400" t="s">
        <v>987</v>
      </c>
      <c r="K400" t="b">
        <v>1</v>
      </c>
      <c r="L400" t="b">
        <v>0</v>
      </c>
      <c r="M400" t="s">
        <v>987</v>
      </c>
      <c r="N400" t="s">
        <v>989</v>
      </c>
      <c r="O400" t="s">
        <v>1021</v>
      </c>
      <c r="P400" t="s">
        <v>1667</v>
      </c>
      <c r="Q400" t="s">
        <v>1668</v>
      </c>
    </row>
    <row r="401" spans="1:17" x14ac:dyDescent="0.25">
      <c r="A401" t="s">
        <v>44</v>
      </c>
      <c r="B401" t="s">
        <v>1695</v>
      </c>
      <c r="C401" t="s">
        <v>446</v>
      </c>
      <c r="D401" t="s">
        <v>1115</v>
      </c>
      <c r="E401">
        <v>0</v>
      </c>
      <c r="F401" t="s">
        <v>986</v>
      </c>
      <c r="G401" t="s">
        <v>987</v>
      </c>
      <c r="H401" t="s">
        <v>1666</v>
      </c>
      <c r="I401" t="s">
        <v>987</v>
      </c>
      <c r="J401" t="s">
        <v>987</v>
      </c>
      <c r="K401" t="b">
        <v>1</v>
      </c>
      <c r="L401" t="b">
        <v>0</v>
      </c>
      <c r="M401" t="s">
        <v>987</v>
      </c>
      <c r="N401" t="s">
        <v>989</v>
      </c>
      <c r="O401" t="s">
        <v>1021</v>
      </c>
      <c r="P401" t="s">
        <v>1667</v>
      </c>
      <c r="Q401" t="s">
        <v>1668</v>
      </c>
    </row>
    <row r="402" spans="1:17" x14ac:dyDescent="0.25">
      <c r="A402" t="s">
        <v>44</v>
      </c>
      <c r="B402" t="s">
        <v>1696</v>
      </c>
      <c r="C402" t="s">
        <v>446</v>
      </c>
      <c r="D402" t="s">
        <v>985</v>
      </c>
      <c r="E402">
        <v>0</v>
      </c>
      <c r="F402" t="s">
        <v>986</v>
      </c>
      <c r="G402" t="s">
        <v>987</v>
      </c>
      <c r="H402" t="s">
        <v>1666</v>
      </c>
      <c r="I402" t="s">
        <v>987</v>
      </c>
      <c r="J402" t="s">
        <v>987</v>
      </c>
      <c r="K402" t="b">
        <v>1</v>
      </c>
      <c r="L402" t="b">
        <v>0</v>
      </c>
      <c r="M402" t="s">
        <v>987</v>
      </c>
      <c r="N402" t="s">
        <v>989</v>
      </c>
      <c r="O402" t="s">
        <v>1021</v>
      </c>
      <c r="P402" t="s">
        <v>1667</v>
      </c>
      <c r="Q402" t="s">
        <v>1668</v>
      </c>
    </row>
    <row r="403" spans="1:17" x14ac:dyDescent="0.25">
      <c r="A403" t="s">
        <v>44</v>
      </c>
      <c r="B403" t="s">
        <v>1697</v>
      </c>
      <c r="C403" t="s">
        <v>446</v>
      </c>
      <c r="D403" t="s">
        <v>994</v>
      </c>
      <c r="E403">
        <v>0</v>
      </c>
      <c r="F403" t="s">
        <v>986</v>
      </c>
      <c r="G403" t="s">
        <v>987</v>
      </c>
      <c r="H403" t="s">
        <v>1666</v>
      </c>
      <c r="I403" t="s">
        <v>987</v>
      </c>
      <c r="J403" t="s">
        <v>987</v>
      </c>
      <c r="K403" t="b">
        <v>1</v>
      </c>
      <c r="L403" t="b">
        <v>0</v>
      </c>
      <c r="M403" t="s">
        <v>987</v>
      </c>
      <c r="N403" t="s">
        <v>989</v>
      </c>
      <c r="O403" t="s">
        <v>1021</v>
      </c>
      <c r="P403" t="s">
        <v>1667</v>
      </c>
      <c r="Q403" t="s">
        <v>1668</v>
      </c>
    </row>
    <row r="404" spans="1:17" x14ac:dyDescent="0.25">
      <c r="A404" t="s">
        <v>44</v>
      </c>
      <c r="B404" t="s">
        <v>1698</v>
      </c>
      <c r="C404" t="s">
        <v>446</v>
      </c>
      <c r="D404" t="s">
        <v>996</v>
      </c>
      <c r="E404">
        <v>0</v>
      </c>
      <c r="F404" t="s">
        <v>986</v>
      </c>
      <c r="G404" t="s">
        <v>987</v>
      </c>
      <c r="H404" t="s">
        <v>1666</v>
      </c>
      <c r="I404" t="s">
        <v>987</v>
      </c>
      <c r="J404" t="s">
        <v>987</v>
      </c>
      <c r="K404" t="b">
        <v>1</v>
      </c>
      <c r="L404" t="b">
        <v>0</v>
      </c>
      <c r="M404" t="s">
        <v>987</v>
      </c>
      <c r="N404" t="s">
        <v>989</v>
      </c>
      <c r="O404" t="s">
        <v>1021</v>
      </c>
      <c r="P404" t="s">
        <v>1667</v>
      </c>
      <c r="Q404" t="s">
        <v>1668</v>
      </c>
    </row>
    <row r="405" spans="1:17" x14ac:dyDescent="0.25">
      <c r="A405" t="s">
        <v>44</v>
      </c>
      <c r="B405" t="s">
        <v>1699</v>
      </c>
      <c r="C405" t="s">
        <v>446</v>
      </c>
      <c r="D405" t="s">
        <v>998</v>
      </c>
      <c r="E405">
        <v>0</v>
      </c>
      <c r="F405" t="s">
        <v>986</v>
      </c>
      <c r="G405" t="s">
        <v>987</v>
      </c>
      <c r="H405" t="s">
        <v>1666</v>
      </c>
      <c r="I405" t="s">
        <v>987</v>
      </c>
      <c r="J405" t="s">
        <v>987</v>
      </c>
      <c r="K405" t="b">
        <v>1</v>
      </c>
      <c r="L405" t="b">
        <v>0</v>
      </c>
      <c r="M405" t="s">
        <v>987</v>
      </c>
      <c r="N405" t="s">
        <v>989</v>
      </c>
      <c r="O405" t="s">
        <v>1021</v>
      </c>
      <c r="P405" t="s">
        <v>1667</v>
      </c>
      <c r="Q405" t="s">
        <v>1668</v>
      </c>
    </row>
    <row r="406" spans="1:17" x14ac:dyDescent="0.25">
      <c r="A406" t="s">
        <v>44</v>
      </c>
      <c r="B406" t="s">
        <v>1700</v>
      </c>
      <c r="C406" t="s">
        <v>446</v>
      </c>
      <c r="D406" t="s">
        <v>1000</v>
      </c>
      <c r="E406">
        <v>0</v>
      </c>
      <c r="F406" t="s">
        <v>986</v>
      </c>
      <c r="G406" t="s">
        <v>987</v>
      </c>
      <c r="H406" t="s">
        <v>1666</v>
      </c>
      <c r="I406" t="s">
        <v>987</v>
      </c>
      <c r="J406" t="s">
        <v>987</v>
      </c>
      <c r="K406" t="b">
        <v>1</v>
      </c>
      <c r="L406" t="b">
        <v>0</v>
      </c>
      <c r="M406" t="s">
        <v>987</v>
      </c>
      <c r="N406" t="s">
        <v>989</v>
      </c>
      <c r="O406" t="s">
        <v>1021</v>
      </c>
      <c r="P406" t="s">
        <v>1667</v>
      </c>
      <c r="Q406" t="s">
        <v>1668</v>
      </c>
    </row>
    <row r="407" spans="1:17" x14ac:dyDescent="0.25">
      <c r="A407" t="s">
        <v>44</v>
      </c>
      <c r="B407" t="s">
        <v>1701</v>
      </c>
      <c r="C407" t="s">
        <v>446</v>
      </c>
      <c r="D407" t="s">
        <v>1002</v>
      </c>
      <c r="E407">
        <v>0</v>
      </c>
      <c r="F407" t="s">
        <v>986</v>
      </c>
      <c r="G407" t="s">
        <v>987</v>
      </c>
      <c r="H407" t="s">
        <v>1666</v>
      </c>
      <c r="I407" t="s">
        <v>987</v>
      </c>
      <c r="J407" t="s">
        <v>987</v>
      </c>
      <c r="K407" t="b">
        <v>1</v>
      </c>
      <c r="L407" t="b">
        <v>0</v>
      </c>
      <c r="M407" t="s">
        <v>987</v>
      </c>
      <c r="N407" t="s">
        <v>989</v>
      </c>
      <c r="O407" t="s">
        <v>1021</v>
      </c>
      <c r="P407" t="s">
        <v>1667</v>
      </c>
      <c r="Q407" t="s">
        <v>1668</v>
      </c>
    </row>
    <row r="408" spans="1:17" x14ac:dyDescent="0.25">
      <c r="A408" t="s">
        <v>44</v>
      </c>
      <c r="B408" t="s">
        <v>1702</v>
      </c>
      <c r="C408" t="s">
        <v>446</v>
      </c>
      <c r="D408" t="s">
        <v>1004</v>
      </c>
      <c r="E408">
        <v>0</v>
      </c>
      <c r="F408" t="s">
        <v>986</v>
      </c>
      <c r="G408" t="s">
        <v>987</v>
      </c>
      <c r="H408" t="s">
        <v>1666</v>
      </c>
      <c r="I408" t="s">
        <v>987</v>
      </c>
      <c r="J408" t="s">
        <v>987</v>
      </c>
      <c r="K408" t="b">
        <v>1</v>
      </c>
      <c r="L408" t="b">
        <v>0</v>
      </c>
      <c r="M408" t="s">
        <v>987</v>
      </c>
      <c r="N408" t="s">
        <v>989</v>
      </c>
      <c r="O408" t="s">
        <v>1021</v>
      </c>
      <c r="P408" t="s">
        <v>1667</v>
      </c>
      <c r="Q408" t="s">
        <v>1668</v>
      </c>
    </row>
    <row r="409" spans="1:17" x14ac:dyDescent="0.25">
      <c r="A409" t="s">
        <v>44</v>
      </c>
      <c r="B409" t="s">
        <v>1703</v>
      </c>
      <c r="C409" t="s">
        <v>446</v>
      </c>
      <c r="D409" t="s">
        <v>1006</v>
      </c>
      <c r="E409">
        <v>0</v>
      </c>
      <c r="F409" t="s">
        <v>986</v>
      </c>
      <c r="G409" t="s">
        <v>987</v>
      </c>
      <c r="H409" t="s">
        <v>1666</v>
      </c>
      <c r="I409" t="s">
        <v>987</v>
      </c>
      <c r="J409" t="s">
        <v>987</v>
      </c>
      <c r="K409" t="b">
        <v>1</v>
      </c>
      <c r="L409" t="b">
        <v>0</v>
      </c>
      <c r="M409" t="s">
        <v>987</v>
      </c>
      <c r="N409" t="s">
        <v>989</v>
      </c>
      <c r="O409" t="s">
        <v>1021</v>
      </c>
      <c r="P409" t="s">
        <v>1667</v>
      </c>
      <c r="Q409" t="s">
        <v>1668</v>
      </c>
    </row>
    <row r="410" spans="1:17" x14ac:dyDescent="0.25">
      <c r="A410" t="s">
        <v>44</v>
      </c>
      <c r="B410" t="s">
        <v>1704</v>
      </c>
      <c r="C410" t="s">
        <v>446</v>
      </c>
      <c r="D410" t="s">
        <v>1008</v>
      </c>
      <c r="E410">
        <v>0</v>
      </c>
      <c r="F410" t="s">
        <v>986</v>
      </c>
      <c r="G410" t="s">
        <v>987</v>
      </c>
      <c r="H410" t="s">
        <v>1666</v>
      </c>
      <c r="I410" t="s">
        <v>987</v>
      </c>
      <c r="J410" t="s">
        <v>987</v>
      </c>
      <c r="K410" t="b">
        <v>1</v>
      </c>
      <c r="L410" t="b">
        <v>0</v>
      </c>
      <c r="M410" t="s">
        <v>987</v>
      </c>
      <c r="N410" t="s">
        <v>989</v>
      </c>
      <c r="O410" t="s">
        <v>1021</v>
      </c>
      <c r="P410" t="s">
        <v>1667</v>
      </c>
      <c r="Q410" t="s">
        <v>1668</v>
      </c>
    </row>
    <row r="411" spans="1:17" x14ac:dyDescent="0.25">
      <c r="A411" t="s">
        <v>44</v>
      </c>
      <c r="B411" t="s">
        <v>1705</v>
      </c>
      <c r="C411" t="s">
        <v>446</v>
      </c>
      <c r="D411" t="s">
        <v>1010</v>
      </c>
      <c r="E411">
        <v>0</v>
      </c>
      <c r="F411" t="s">
        <v>986</v>
      </c>
      <c r="G411" t="s">
        <v>987</v>
      </c>
      <c r="H411" t="s">
        <v>1666</v>
      </c>
      <c r="I411" t="s">
        <v>987</v>
      </c>
      <c r="J411" t="s">
        <v>987</v>
      </c>
      <c r="K411" t="b">
        <v>1</v>
      </c>
      <c r="L411" t="b">
        <v>0</v>
      </c>
      <c r="M411" t="s">
        <v>987</v>
      </c>
      <c r="N411" t="s">
        <v>989</v>
      </c>
      <c r="O411" t="s">
        <v>1021</v>
      </c>
      <c r="P411" t="s">
        <v>1667</v>
      </c>
      <c r="Q411" t="s">
        <v>1668</v>
      </c>
    </row>
    <row r="412" spans="1:17" x14ac:dyDescent="0.25">
      <c r="A412" t="s">
        <v>44</v>
      </c>
      <c r="B412" t="s">
        <v>1706</v>
      </c>
      <c r="C412" t="s">
        <v>446</v>
      </c>
      <c r="D412" t="s">
        <v>1012</v>
      </c>
      <c r="E412">
        <v>0</v>
      </c>
      <c r="F412" t="s">
        <v>986</v>
      </c>
      <c r="G412" t="s">
        <v>987</v>
      </c>
      <c r="H412" t="s">
        <v>1666</v>
      </c>
      <c r="I412" t="s">
        <v>987</v>
      </c>
      <c r="J412" t="s">
        <v>987</v>
      </c>
      <c r="K412" t="b">
        <v>1</v>
      </c>
      <c r="L412" t="b">
        <v>0</v>
      </c>
      <c r="M412" t="s">
        <v>987</v>
      </c>
      <c r="N412" t="s">
        <v>989</v>
      </c>
      <c r="O412" t="s">
        <v>1021</v>
      </c>
      <c r="P412" t="s">
        <v>1667</v>
      </c>
      <c r="Q412" t="s">
        <v>1668</v>
      </c>
    </row>
    <row r="413" spans="1:17" x14ac:dyDescent="0.25">
      <c r="A413" t="s">
        <v>44</v>
      </c>
      <c r="B413" t="s">
        <v>1707</v>
      </c>
      <c r="C413" t="s">
        <v>446</v>
      </c>
      <c r="D413" t="s">
        <v>1014</v>
      </c>
      <c r="E413">
        <v>0</v>
      </c>
      <c r="F413" t="s">
        <v>986</v>
      </c>
      <c r="G413" t="s">
        <v>987</v>
      </c>
      <c r="H413" t="s">
        <v>1666</v>
      </c>
      <c r="I413" t="s">
        <v>987</v>
      </c>
      <c r="J413" t="s">
        <v>987</v>
      </c>
      <c r="K413" t="b">
        <v>1</v>
      </c>
      <c r="L413" t="b">
        <v>0</v>
      </c>
      <c r="M413" t="s">
        <v>987</v>
      </c>
      <c r="N413" t="s">
        <v>989</v>
      </c>
      <c r="O413" t="s">
        <v>1021</v>
      </c>
      <c r="P413" t="s">
        <v>1667</v>
      </c>
      <c r="Q413" t="s">
        <v>1668</v>
      </c>
    </row>
    <row r="414" spans="1:17" x14ac:dyDescent="0.25">
      <c r="A414" t="s">
        <v>44</v>
      </c>
      <c r="B414" t="s">
        <v>1708</v>
      </c>
      <c r="C414" t="s">
        <v>446</v>
      </c>
      <c r="D414" t="s">
        <v>1016</v>
      </c>
      <c r="E414">
        <v>0</v>
      </c>
      <c r="F414" t="s">
        <v>986</v>
      </c>
      <c r="G414" t="s">
        <v>987</v>
      </c>
      <c r="H414" t="s">
        <v>1666</v>
      </c>
      <c r="I414" t="s">
        <v>987</v>
      </c>
      <c r="J414" t="s">
        <v>987</v>
      </c>
      <c r="K414" t="b">
        <v>1</v>
      </c>
      <c r="L414" t="b">
        <v>0</v>
      </c>
      <c r="M414" t="s">
        <v>987</v>
      </c>
      <c r="N414" t="s">
        <v>989</v>
      </c>
      <c r="O414" t="s">
        <v>1021</v>
      </c>
      <c r="P414" t="s">
        <v>1667</v>
      </c>
      <c r="Q414" t="s">
        <v>1668</v>
      </c>
    </row>
    <row r="415" spans="1:17" x14ac:dyDescent="0.25">
      <c r="A415" t="s">
        <v>44</v>
      </c>
      <c r="B415" t="s">
        <v>1709</v>
      </c>
      <c r="C415" t="s">
        <v>446</v>
      </c>
      <c r="D415" t="s">
        <v>1115</v>
      </c>
      <c r="E415">
        <v>0</v>
      </c>
      <c r="F415" t="s">
        <v>986</v>
      </c>
      <c r="G415" t="s">
        <v>987</v>
      </c>
      <c r="H415" t="s">
        <v>1666</v>
      </c>
      <c r="I415" t="s">
        <v>987</v>
      </c>
      <c r="J415" t="s">
        <v>987</v>
      </c>
      <c r="K415" t="b">
        <v>1</v>
      </c>
      <c r="L415" t="b">
        <v>0</v>
      </c>
      <c r="M415" t="s">
        <v>987</v>
      </c>
      <c r="N415" t="s">
        <v>989</v>
      </c>
      <c r="O415" t="s">
        <v>1021</v>
      </c>
      <c r="P415" t="s">
        <v>1667</v>
      </c>
      <c r="Q415" t="s">
        <v>1668</v>
      </c>
    </row>
    <row r="416" spans="1:17" x14ac:dyDescent="0.25">
      <c r="A416" t="s">
        <v>44</v>
      </c>
      <c r="B416" t="s">
        <v>1665</v>
      </c>
      <c r="C416" t="s">
        <v>1710</v>
      </c>
      <c r="D416" t="s">
        <v>985</v>
      </c>
      <c r="E416">
        <v>5021</v>
      </c>
      <c r="F416" t="s">
        <v>1711</v>
      </c>
      <c r="G416" t="s">
        <v>1712</v>
      </c>
      <c r="H416" t="s">
        <v>1666</v>
      </c>
      <c r="I416" t="s">
        <v>1028</v>
      </c>
      <c r="J416" t="s">
        <v>987</v>
      </c>
      <c r="K416" t="b">
        <v>1</v>
      </c>
      <c r="L416" t="b">
        <v>0</v>
      </c>
      <c r="M416" t="s">
        <v>987</v>
      </c>
      <c r="N416" t="s">
        <v>1713</v>
      </c>
      <c r="O416" t="s">
        <v>1714</v>
      </c>
      <c r="P416" t="s">
        <v>1715</v>
      </c>
      <c r="Q416" t="s">
        <v>1716</v>
      </c>
    </row>
    <row r="417" spans="1:17" x14ac:dyDescent="0.25">
      <c r="A417" t="s">
        <v>44</v>
      </c>
      <c r="B417" t="s">
        <v>1669</v>
      </c>
      <c r="C417" t="s">
        <v>1710</v>
      </c>
      <c r="D417" t="s">
        <v>994</v>
      </c>
      <c r="E417">
        <v>5082</v>
      </c>
      <c r="F417" t="s">
        <v>1711</v>
      </c>
      <c r="G417" t="s">
        <v>1712</v>
      </c>
      <c r="H417" t="s">
        <v>1666</v>
      </c>
      <c r="I417" t="s">
        <v>1045</v>
      </c>
      <c r="J417" t="s">
        <v>987</v>
      </c>
      <c r="K417" t="b">
        <v>1</v>
      </c>
      <c r="L417" t="b">
        <v>0</v>
      </c>
      <c r="M417" t="s">
        <v>987</v>
      </c>
      <c r="N417" t="s">
        <v>1713</v>
      </c>
      <c r="O417" t="s">
        <v>1714</v>
      </c>
      <c r="P417" t="s">
        <v>1715</v>
      </c>
      <c r="Q417" t="s">
        <v>1716</v>
      </c>
    </row>
    <row r="418" spans="1:17" x14ac:dyDescent="0.25">
      <c r="A418" t="s">
        <v>44</v>
      </c>
      <c r="B418" t="s">
        <v>1670</v>
      </c>
      <c r="C418" t="s">
        <v>1710</v>
      </c>
      <c r="D418" t="s">
        <v>996</v>
      </c>
      <c r="E418">
        <v>5066</v>
      </c>
      <c r="F418" t="s">
        <v>1711</v>
      </c>
      <c r="G418" t="s">
        <v>1712</v>
      </c>
      <c r="H418" t="s">
        <v>1666</v>
      </c>
      <c r="I418" t="s">
        <v>1048</v>
      </c>
      <c r="J418" t="s">
        <v>987</v>
      </c>
      <c r="K418" t="b">
        <v>1</v>
      </c>
      <c r="L418" t="b">
        <v>0</v>
      </c>
      <c r="M418" t="s">
        <v>987</v>
      </c>
      <c r="N418" t="s">
        <v>1713</v>
      </c>
      <c r="O418" t="s">
        <v>1714</v>
      </c>
      <c r="P418" t="s">
        <v>1715</v>
      </c>
      <c r="Q418" t="s">
        <v>1716</v>
      </c>
    </row>
    <row r="419" spans="1:17" x14ac:dyDescent="0.25">
      <c r="A419" t="s">
        <v>44</v>
      </c>
      <c r="B419" t="s">
        <v>1671</v>
      </c>
      <c r="C419" t="s">
        <v>1710</v>
      </c>
      <c r="D419" t="s">
        <v>998</v>
      </c>
      <c r="E419">
        <v>5395</v>
      </c>
      <c r="F419" t="s">
        <v>1711</v>
      </c>
      <c r="G419" t="s">
        <v>1712</v>
      </c>
      <c r="H419" t="s">
        <v>1666</v>
      </c>
      <c r="I419" t="s">
        <v>987</v>
      </c>
      <c r="J419" t="s">
        <v>987</v>
      </c>
      <c r="K419" t="b">
        <v>1</v>
      </c>
      <c r="L419" t="b">
        <v>0</v>
      </c>
      <c r="M419" t="s">
        <v>987</v>
      </c>
      <c r="N419" t="s">
        <v>1713</v>
      </c>
      <c r="O419" t="s">
        <v>1714</v>
      </c>
      <c r="P419" t="s">
        <v>1715</v>
      </c>
      <c r="Q419" t="s">
        <v>1716</v>
      </c>
    </row>
    <row r="420" spans="1:17" x14ac:dyDescent="0.25">
      <c r="A420" t="s">
        <v>44</v>
      </c>
      <c r="B420" t="s">
        <v>1672</v>
      </c>
      <c r="C420" t="s">
        <v>1710</v>
      </c>
      <c r="D420" t="s">
        <v>1000</v>
      </c>
      <c r="E420">
        <v>5368</v>
      </c>
      <c r="F420" t="s">
        <v>1711</v>
      </c>
      <c r="G420" t="s">
        <v>1712</v>
      </c>
      <c r="H420" t="s">
        <v>1666</v>
      </c>
      <c r="I420" t="s">
        <v>1054</v>
      </c>
      <c r="J420" t="s">
        <v>987</v>
      </c>
      <c r="K420" t="b">
        <v>1</v>
      </c>
      <c r="L420" t="b">
        <v>0</v>
      </c>
      <c r="M420" t="s">
        <v>987</v>
      </c>
      <c r="N420" t="s">
        <v>1713</v>
      </c>
      <c r="O420" t="s">
        <v>1714</v>
      </c>
      <c r="P420" t="s">
        <v>1715</v>
      </c>
      <c r="Q420" t="s">
        <v>1716</v>
      </c>
    </row>
    <row r="421" spans="1:17" x14ac:dyDescent="0.25">
      <c r="A421" t="s">
        <v>44</v>
      </c>
      <c r="B421" t="s">
        <v>1673</v>
      </c>
      <c r="C421" t="s">
        <v>1710</v>
      </c>
      <c r="D421" t="s">
        <v>1002</v>
      </c>
      <c r="E421">
        <v>5108</v>
      </c>
      <c r="F421" t="s">
        <v>1711</v>
      </c>
      <c r="G421" t="s">
        <v>1712</v>
      </c>
      <c r="H421" t="s">
        <v>1666</v>
      </c>
      <c r="I421" t="s">
        <v>1057</v>
      </c>
      <c r="J421" t="s">
        <v>987</v>
      </c>
      <c r="K421" t="b">
        <v>1</v>
      </c>
      <c r="L421" t="b">
        <v>0</v>
      </c>
      <c r="M421" t="s">
        <v>987</v>
      </c>
      <c r="N421" t="s">
        <v>1713</v>
      </c>
      <c r="O421" t="s">
        <v>1714</v>
      </c>
      <c r="P421" t="s">
        <v>1715</v>
      </c>
      <c r="Q421" t="s">
        <v>1716</v>
      </c>
    </row>
    <row r="422" spans="1:17" x14ac:dyDescent="0.25">
      <c r="A422" t="s">
        <v>44</v>
      </c>
      <c r="B422" t="s">
        <v>1674</v>
      </c>
      <c r="C422" t="s">
        <v>1710</v>
      </c>
      <c r="D422" t="s">
        <v>1004</v>
      </c>
      <c r="E422">
        <v>5126</v>
      </c>
      <c r="F422" t="s">
        <v>1711</v>
      </c>
      <c r="G422" t="s">
        <v>1712</v>
      </c>
      <c r="H422" t="s">
        <v>1666</v>
      </c>
      <c r="I422" t="s">
        <v>1060</v>
      </c>
      <c r="J422" t="s">
        <v>987</v>
      </c>
      <c r="K422" t="b">
        <v>1</v>
      </c>
      <c r="L422" t="b">
        <v>0</v>
      </c>
      <c r="M422" t="s">
        <v>987</v>
      </c>
      <c r="N422" t="s">
        <v>1713</v>
      </c>
      <c r="O422" t="s">
        <v>1714</v>
      </c>
      <c r="P422" t="s">
        <v>1715</v>
      </c>
      <c r="Q422" t="s">
        <v>1716</v>
      </c>
    </row>
    <row r="423" spans="1:17" x14ac:dyDescent="0.25">
      <c r="A423" t="s">
        <v>44</v>
      </c>
      <c r="B423" t="s">
        <v>1675</v>
      </c>
      <c r="C423" t="s">
        <v>1710</v>
      </c>
      <c r="D423" t="s">
        <v>1006</v>
      </c>
      <c r="E423">
        <v>5073</v>
      </c>
      <c r="F423" t="s">
        <v>1711</v>
      </c>
      <c r="G423" t="s">
        <v>1712</v>
      </c>
      <c r="H423" t="s">
        <v>1666</v>
      </c>
      <c r="I423" t="s">
        <v>987</v>
      </c>
      <c r="J423" t="s">
        <v>987</v>
      </c>
      <c r="K423" t="b">
        <v>1</v>
      </c>
      <c r="L423" t="b">
        <v>0</v>
      </c>
      <c r="M423" t="s">
        <v>987</v>
      </c>
      <c r="N423" t="s">
        <v>1713</v>
      </c>
      <c r="O423" t="s">
        <v>1714</v>
      </c>
      <c r="P423" t="s">
        <v>1715</v>
      </c>
      <c r="Q423" t="s">
        <v>1716</v>
      </c>
    </row>
    <row r="424" spans="1:17" x14ac:dyDescent="0.25">
      <c r="A424" t="s">
        <v>44</v>
      </c>
      <c r="B424" t="s">
        <v>1676</v>
      </c>
      <c r="C424" t="s">
        <v>1710</v>
      </c>
      <c r="D424" t="s">
        <v>1008</v>
      </c>
      <c r="E424">
        <v>5223</v>
      </c>
      <c r="F424" t="s">
        <v>1711</v>
      </c>
      <c r="G424" t="s">
        <v>1712</v>
      </c>
      <c r="H424" t="s">
        <v>1666</v>
      </c>
      <c r="I424" t="s">
        <v>1066</v>
      </c>
      <c r="J424" t="s">
        <v>987</v>
      </c>
      <c r="K424" t="b">
        <v>1</v>
      </c>
      <c r="L424" t="b">
        <v>0</v>
      </c>
      <c r="M424" t="s">
        <v>987</v>
      </c>
      <c r="N424" t="s">
        <v>1713</v>
      </c>
      <c r="O424" t="s">
        <v>1714</v>
      </c>
      <c r="P424" t="s">
        <v>1715</v>
      </c>
      <c r="Q424" t="s">
        <v>1716</v>
      </c>
    </row>
    <row r="425" spans="1:17" x14ac:dyDescent="0.25">
      <c r="A425" t="s">
        <v>44</v>
      </c>
      <c r="B425" t="s">
        <v>1677</v>
      </c>
      <c r="C425" t="s">
        <v>1710</v>
      </c>
      <c r="D425" t="s">
        <v>1010</v>
      </c>
      <c r="E425">
        <v>5271</v>
      </c>
      <c r="F425" t="s">
        <v>1711</v>
      </c>
      <c r="G425" t="s">
        <v>1712</v>
      </c>
      <c r="H425" t="s">
        <v>1666</v>
      </c>
      <c r="I425" t="s">
        <v>1057</v>
      </c>
      <c r="J425" t="s">
        <v>987</v>
      </c>
      <c r="K425" t="b">
        <v>1</v>
      </c>
      <c r="L425" t="b">
        <v>0</v>
      </c>
      <c r="M425" t="s">
        <v>987</v>
      </c>
      <c r="N425" t="s">
        <v>1713</v>
      </c>
      <c r="O425" t="s">
        <v>1714</v>
      </c>
      <c r="P425" t="s">
        <v>1715</v>
      </c>
      <c r="Q425" t="s">
        <v>1716</v>
      </c>
    </row>
    <row r="426" spans="1:17" x14ac:dyDescent="0.25">
      <c r="A426" t="s">
        <v>44</v>
      </c>
      <c r="B426" t="s">
        <v>1678</v>
      </c>
      <c r="C426" t="s">
        <v>1710</v>
      </c>
      <c r="D426" t="s">
        <v>1012</v>
      </c>
      <c r="E426">
        <v>5289</v>
      </c>
      <c r="F426" t="s">
        <v>1711</v>
      </c>
      <c r="G426" t="s">
        <v>1712</v>
      </c>
      <c r="H426" t="s">
        <v>1666</v>
      </c>
      <c r="I426" t="s">
        <v>1060</v>
      </c>
      <c r="J426" t="s">
        <v>987</v>
      </c>
      <c r="K426" t="b">
        <v>1</v>
      </c>
      <c r="L426" t="b">
        <v>0</v>
      </c>
      <c r="M426" t="s">
        <v>987</v>
      </c>
      <c r="N426" t="s">
        <v>1713</v>
      </c>
      <c r="O426" t="s">
        <v>1714</v>
      </c>
      <c r="P426" t="s">
        <v>1715</v>
      </c>
      <c r="Q426" t="s">
        <v>1716</v>
      </c>
    </row>
    <row r="427" spans="1:17" x14ac:dyDescent="0.25">
      <c r="A427" t="s">
        <v>44</v>
      </c>
      <c r="B427" t="s">
        <v>1679</v>
      </c>
      <c r="C427" t="s">
        <v>1710</v>
      </c>
      <c r="D427" t="s">
        <v>1014</v>
      </c>
      <c r="E427">
        <v>5527</v>
      </c>
      <c r="F427" t="s">
        <v>1711</v>
      </c>
      <c r="G427" t="s">
        <v>1712</v>
      </c>
      <c r="H427" t="s">
        <v>1666</v>
      </c>
      <c r="I427" t="s">
        <v>987</v>
      </c>
      <c r="J427" t="s">
        <v>987</v>
      </c>
      <c r="K427" t="b">
        <v>1</v>
      </c>
      <c r="L427" t="b">
        <v>0</v>
      </c>
      <c r="M427" t="s">
        <v>987</v>
      </c>
      <c r="N427" t="s">
        <v>1713</v>
      </c>
      <c r="O427" t="s">
        <v>1714</v>
      </c>
      <c r="P427" t="s">
        <v>1715</v>
      </c>
      <c r="Q427" t="s">
        <v>1716</v>
      </c>
    </row>
    <row r="428" spans="1:17" x14ac:dyDescent="0.25">
      <c r="A428" t="s">
        <v>44</v>
      </c>
      <c r="B428" t="s">
        <v>1680</v>
      </c>
      <c r="C428" t="s">
        <v>1710</v>
      </c>
      <c r="D428" t="s">
        <v>1016</v>
      </c>
      <c r="E428">
        <v>5368</v>
      </c>
      <c r="F428" t="s">
        <v>1711</v>
      </c>
      <c r="G428" t="s">
        <v>1712</v>
      </c>
      <c r="H428" t="s">
        <v>1666</v>
      </c>
      <c r="I428" t="s">
        <v>1066</v>
      </c>
      <c r="J428" t="s">
        <v>987</v>
      </c>
      <c r="K428" t="b">
        <v>1</v>
      </c>
      <c r="L428" t="b">
        <v>0</v>
      </c>
      <c r="M428" t="s">
        <v>987</v>
      </c>
      <c r="N428" t="s">
        <v>1713</v>
      </c>
      <c r="O428" t="s">
        <v>1714</v>
      </c>
      <c r="P428" t="s">
        <v>1715</v>
      </c>
      <c r="Q428" t="s">
        <v>1716</v>
      </c>
    </row>
    <row r="429" spans="1:17" x14ac:dyDescent="0.25">
      <c r="A429" t="s">
        <v>44</v>
      </c>
      <c r="B429" t="s">
        <v>1682</v>
      </c>
      <c r="C429" t="s">
        <v>1717</v>
      </c>
      <c r="D429" t="s">
        <v>985</v>
      </c>
      <c r="E429">
        <v>603</v>
      </c>
      <c r="F429" t="s">
        <v>1711</v>
      </c>
      <c r="G429" t="s">
        <v>1718</v>
      </c>
      <c r="H429" t="s">
        <v>1666</v>
      </c>
      <c r="I429" t="s">
        <v>1028</v>
      </c>
      <c r="J429" t="s">
        <v>987</v>
      </c>
      <c r="K429" t="b">
        <v>1</v>
      </c>
      <c r="L429" t="b">
        <v>0</v>
      </c>
      <c r="M429" t="s">
        <v>987</v>
      </c>
      <c r="N429" t="s">
        <v>1713</v>
      </c>
      <c r="O429" t="s">
        <v>1714</v>
      </c>
      <c r="P429" t="s">
        <v>1715</v>
      </c>
      <c r="Q429" t="s">
        <v>1719</v>
      </c>
    </row>
    <row r="430" spans="1:17" x14ac:dyDescent="0.25">
      <c r="A430" t="s">
        <v>44</v>
      </c>
      <c r="B430" t="s">
        <v>1683</v>
      </c>
      <c r="C430" t="s">
        <v>1717</v>
      </c>
      <c r="D430" t="s">
        <v>994</v>
      </c>
      <c r="E430">
        <v>604</v>
      </c>
      <c r="F430" t="s">
        <v>1711</v>
      </c>
      <c r="G430" t="s">
        <v>1718</v>
      </c>
      <c r="H430" t="s">
        <v>1666</v>
      </c>
      <c r="I430" t="s">
        <v>1045</v>
      </c>
      <c r="J430" t="s">
        <v>987</v>
      </c>
      <c r="K430" t="b">
        <v>1</v>
      </c>
      <c r="L430" t="b">
        <v>0</v>
      </c>
      <c r="M430" t="s">
        <v>987</v>
      </c>
      <c r="N430" t="s">
        <v>1713</v>
      </c>
      <c r="O430" t="s">
        <v>1714</v>
      </c>
      <c r="P430" t="s">
        <v>1715</v>
      </c>
      <c r="Q430" t="s">
        <v>1719</v>
      </c>
    </row>
    <row r="431" spans="1:17" x14ac:dyDescent="0.25">
      <c r="A431" t="s">
        <v>44</v>
      </c>
      <c r="B431" t="s">
        <v>1684</v>
      </c>
      <c r="C431" t="s">
        <v>1717</v>
      </c>
      <c r="D431" t="s">
        <v>996</v>
      </c>
      <c r="E431">
        <v>568</v>
      </c>
      <c r="F431" t="s">
        <v>1711</v>
      </c>
      <c r="G431" t="s">
        <v>1718</v>
      </c>
      <c r="H431" t="s">
        <v>1666</v>
      </c>
      <c r="I431" t="s">
        <v>1048</v>
      </c>
      <c r="J431" t="s">
        <v>987</v>
      </c>
      <c r="K431" t="b">
        <v>1</v>
      </c>
      <c r="L431" t="b">
        <v>0</v>
      </c>
      <c r="M431" t="s">
        <v>987</v>
      </c>
      <c r="N431" t="s">
        <v>1713</v>
      </c>
      <c r="O431" t="s">
        <v>1714</v>
      </c>
      <c r="P431" t="s">
        <v>1715</v>
      </c>
      <c r="Q431" t="s">
        <v>1719</v>
      </c>
    </row>
    <row r="432" spans="1:17" x14ac:dyDescent="0.25">
      <c r="A432" t="s">
        <v>44</v>
      </c>
      <c r="B432" t="s">
        <v>1685</v>
      </c>
      <c r="C432" t="s">
        <v>1717</v>
      </c>
      <c r="D432" t="s">
        <v>998</v>
      </c>
      <c r="E432">
        <v>735</v>
      </c>
      <c r="F432" t="s">
        <v>1711</v>
      </c>
      <c r="G432" t="s">
        <v>1718</v>
      </c>
      <c r="H432" t="s">
        <v>1666</v>
      </c>
      <c r="I432" t="s">
        <v>987</v>
      </c>
      <c r="J432" t="s">
        <v>987</v>
      </c>
      <c r="K432" t="b">
        <v>1</v>
      </c>
      <c r="L432" t="b">
        <v>0</v>
      </c>
      <c r="M432" t="s">
        <v>987</v>
      </c>
      <c r="N432" t="s">
        <v>1713</v>
      </c>
      <c r="O432" t="s">
        <v>1714</v>
      </c>
      <c r="P432" t="s">
        <v>1715</v>
      </c>
      <c r="Q432" t="s">
        <v>1719</v>
      </c>
    </row>
    <row r="433" spans="1:17" x14ac:dyDescent="0.25">
      <c r="A433" t="s">
        <v>44</v>
      </c>
      <c r="B433" t="s">
        <v>1686</v>
      </c>
      <c r="C433" t="s">
        <v>1717</v>
      </c>
      <c r="D433" t="s">
        <v>1000</v>
      </c>
      <c r="E433">
        <v>3285</v>
      </c>
      <c r="F433" t="s">
        <v>1711</v>
      </c>
      <c r="G433" t="s">
        <v>1718</v>
      </c>
      <c r="H433" t="s">
        <v>1666</v>
      </c>
      <c r="I433" t="s">
        <v>1054</v>
      </c>
      <c r="J433" t="s">
        <v>987</v>
      </c>
      <c r="K433" t="b">
        <v>1</v>
      </c>
      <c r="L433" t="b">
        <v>0</v>
      </c>
      <c r="M433" t="s">
        <v>987</v>
      </c>
      <c r="N433" t="s">
        <v>1713</v>
      </c>
      <c r="O433" t="s">
        <v>1714</v>
      </c>
      <c r="P433" t="s">
        <v>1715</v>
      </c>
      <c r="Q433" t="s">
        <v>1719</v>
      </c>
    </row>
    <row r="434" spans="1:17" x14ac:dyDescent="0.25">
      <c r="A434" t="s">
        <v>44</v>
      </c>
      <c r="B434" t="s">
        <v>1687</v>
      </c>
      <c r="C434" t="s">
        <v>1717</v>
      </c>
      <c r="D434" t="s">
        <v>1002</v>
      </c>
      <c r="E434">
        <v>761</v>
      </c>
      <c r="F434" t="s">
        <v>1711</v>
      </c>
      <c r="G434" t="s">
        <v>1718</v>
      </c>
      <c r="H434" t="s">
        <v>1666</v>
      </c>
      <c r="I434" t="s">
        <v>1057</v>
      </c>
      <c r="J434" t="s">
        <v>987</v>
      </c>
      <c r="K434" t="b">
        <v>1</v>
      </c>
      <c r="L434" t="b">
        <v>0</v>
      </c>
      <c r="M434" t="s">
        <v>987</v>
      </c>
      <c r="N434" t="s">
        <v>1713</v>
      </c>
      <c r="O434" t="s">
        <v>1714</v>
      </c>
      <c r="P434" t="s">
        <v>1715</v>
      </c>
      <c r="Q434" t="s">
        <v>1719</v>
      </c>
    </row>
    <row r="435" spans="1:17" x14ac:dyDescent="0.25">
      <c r="A435" t="s">
        <v>44</v>
      </c>
      <c r="B435" t="s">
        <v>1688</v>
      </c>
      <c r="C435" t="s">
        <v>1717</v>
      </c>
      <c r="D435" t="s">
        <v>1004</v>
      </c>
      <c r="E435">
        <v>1089</v>
      </c>
      <c r="F435" t="s">
        <v>1711</v>
      </c>
      <c r="G435" t="s">
        <v>1718</v>
      </c>
      <c r="H435" t="s">
        <v>1666</v>
      </c>
      <c r="I435" t="s">
        <v>1060</v>
      </c>
      <c r="J435" t="s">
        <v>987</v>
      </c>
      <c r="K435" t="b">
        <v>1</v>
      </c>
      <c r="L435" t="b">
        <v>0</v>
      </c>
      <c r="M435" t="s">
        <v>987</v>
      </c>
      <c r="N435" t="s">
        <v>1713</v>
      </c>
      <c r="O435" t="s">
        <v>1714</v>
      </c>
      <c r="P435" t="s">
        <v>1715</v>
      </c>
      <c r="Q435" t="s">
        <v>1719</v>
      </c>
    </row>
    <row r="436" spans="1:17" x14ac:dyDescent="0.25">
      <c r="A436" t="s">
        <v>44</v>
      </c>
      <c r="B436" t="s">
        <v>1689</v>
      </c>
      <c r="C436" t="s">
        <v>1717</v>
      </c>
      <c r="D436" t="s">
        <v>1006</v>
      </c>
      <c r="E436">
        <v>821</v>
      </c>
      <c r="F436" t="s">
        <v>1711</v>
      </c>
      <c r="G436" t="s">
        <v>1718</v>
      </c>
      <c r="H436" t="s">
        <v>1666</v>
      </c>
      <c r="I436" t="s">
        <v>987</v>
      </c>
      <c r="J436" t="s">
        <v>987</v>
      </c>
      <c r="K436" t="b">
        <v>1</v>
      </c>
      <c r="L436" t="b">
        <v>0</v>
      </c>
      <c r="M436" t="s">
        <v>987</v>
      </c>
      <c r="N436" t="s">
        <v>1713</v>
      </c>
      <c r="O436" t="s">
        <v>1714</v>
      </c>
      <c r="P436" t="s">
        <v>1715</v>
      </c>
      <c r="Q436" t="s">
        <v>1719</v>
      </c>
    </row>
    <row r="437" spans="1:17" x14ac:dyDescent="0.25">
      <c r="A437" t="s">
        <v>44</v>
      </c>
      <c r="B437" t="s">
        <v>1690</v>
      </c>
      <c r="C437" t="s">
        <v>1717</v>
      </c>
      <c r="D437" t="s">
        <v>1008</v>
      </c>
      <c r="E437">
        <v>943</v>
      </c>
      <c r="F437" t="s">
        <v>1711</v>
      </c>
      <c r="G437" t="s">
        <v>1718</v>
      </c>
      <c r="H437" t="s">
        <v>1666</v>
      </c>
      <c r="I437" t="s">
        <v>1066</v>
      </c>
      <c r="J437" t="s">
        <v>987</v>
      </c>
      <c r="K437" t="b">
        <v>1</v>
      </c>
      <c r="L437" t="b">
        <v>0</v>
      </c>
      <c r="M437" t="s">
        <v>987</v>
      </c>
      <c r="N437" t="s">
        <v>1713</v>
      </c>
      <c r="O437" t="s">
        <v>1714</v>
      </c>
      <c r="P437" t="s">
        <v>1715</v>
      </c>
      <c r="Q437" t="s">
        <v>1719</v>
      </c>
    </row>
    <row r="438" spans="1:17" x14ac:dyDescent="0.25">
      <c r="A438" t="s">
        <v>44</v>
      </c>
      <c r="B438" t="s">
        <v>1691</v>
      </c>
      <c r="C438" t="s">
        <v>1717</v>
      </c>
      <c r="D438" t="s">
        <v>1010</v>
      </c>
      <c r="E438">
        <v>823</v>
      </c>
      <c r="F438" t="s">
        <v>1711</v>
      </c>
      <c r="G438" t="s">
        <v>1718</v>
      </c>
      <c r="H438" t="s">
        <v>1666</v>
      </c>
      <c r="I438" t="s">
        <v>1057</v>
      </c>
      <c r="J438" t="s">
        <v>987</v>
      </c>
      <c r="K438" t="b">
        <v>1</v>
      </c>
      <c r="L438" t="b">
        <v>0</v>
      </c>
      <c r="M438" t="s">
        <v>987</v>
      </c>
      <c r="N438" t="s">
        <v>1713</v>
      </c>
      <c r="O438" t="s">
        <v>1714</v>
      </c>
      <c r="P438" t="s">
        <v>1715</v>
      </c>
      <c r="Q438" t="s">
        <v>1719</v>
      </c>
    </row>
    <row r="439" spans="1:17" x14ac:dyDescent="0.25">
      <c r="A439" t="s">
        <v>44</v>
      </c>
      <c r="B439" t="s">
        <v>1692</v>
      </c>
      <c r="C439" t="s">
        <v>1717</v>
      </c>
      <c r="D439" t="s">
        <v>1012</v>
      </c>
      <c r="E439">
        <v>889</v>
      </c>
      <c r="F439" t="s">
        <v>1711</v>
      </c>
      <c r="G439" t="s">
        <v>1718</v>
      </c>
      <c r="H439" t="s">
        <v>1666</v>
      </c>
      <c r="I439" t="s">
        <v>1060</v>
      </c>
      <c r="J439" t="s">
        <v>987</v>
      </c>
      <c r="K439" t="b">
        <v>1</v>
      </c>
      <c r="L439" t="b">
        <v>0</v>
      </c>
      <c r="M439" t="s">
        <v>987</v>
      </c>
      <c r="N439" t="s">
        <v>1713</v>
      </c>
      <c r="O439" t="s">
        <v>1714</v>
      </c>
      <c r="P439" t="s">
        <v>1715</v>
      </c>
      <c r="Q439" t="s">
        <v>1719</v>
      </c>
    </row>
    <row r="440" spans="1:17" x14ac:dyDescent="0.25">
      <c r="A440" t="s">
        <v>44</v>
      </c>
      <c r="B440" t="s">
        <v>1693</v>
      </c>
      <c r="C440" t="s">
        <v>1717</v>
      </c>
      <c r="D440" t="s">
        <v>1014</v>
      </c>
      <c r="E440">
        <v>853</v>
      </c>
      <c r="F440" t="s">
        <v>1711</v>
      </c>
      <c r="G440" t="s">
        <v>1718</v>
      </c>
      <c r="H440" t="s">
        <v>1666</v>
      </c>
      <c r="I440" t="s">
        <v>987</v>
      </c>
      <c r="J440" t="s">
        <v>987</v>
      </c>
      <c r="K440" t="b">
        <v>1</v>
      </c>
      <c r="L440" t="b">
        <v>0</v>
      </c>
      <c r="M440" t="s">
        <v>987</v>
      </c>
      <c r="N440" t="s">
        <v>1713</v>
      </c>
      <c r="O440" t="s">
        <v>1714</v>
      </c>
      <c r="P440" t="s">
        <v>1715</v>
      </c>
      <c r="Q440" t="s">
        <v>1719</v>
      </c>
    </row>
    <row r="441" spans="1:17" x14ac:dyDescent="0.25">
      <c r="A441" t="s">
        <v>44</v>
      </c>
      <c r="B441" t="s">
        <v>1694</v>
      </c>
      <c r="C441" t="s">
        <v>1717</v>
      </c>
      <c r="D441" t="s">
        <v>1016</v>
      </c>
      <c r="E441">
        <v>1296</v>
      </c>
      <c r="F441" t="s">
        <v>1711</v>
      </c>
      <c r="G441" t="s">
        <v>1718</v>
      </c>
      <c r="H441" t="s">
        <v>1666</v>
      </c>
      <c r="I441" t="s">
        <v>1066</v>
      </c>
      <c r="J441" t="s">
        <v>987</v>
      </c>
      <c r="K441" t="b">
        <v>1</v>
      </c>
      <c r="L441" t="b">
        <v>0</v>
      </c>
      <c r="M441" t="s">
        <v>987</v>
      </c>
      <c r="N441" t="s">
        <v>1713</v>
      </c>
      <c r="O441" t="s">
        <v>1714</v>
      </c>
      <c r="P441" t="s">
        <v>1715</v>
      </c>
      <c r="Q441" t="s">
        <v>1719</v>
      </c>
    </row>
    <row r="442" spans="1:17" x14ac:dyDescent="0.25">
      <c r="A442" t="s">
        <v>42</v>
      </c>
      <c r="B442" t="s">
        <v>1720</v>
      </c>
      <c r="C442" t="s">
        <v>274</v>
      </c>
      <c r="D442" t="s">
        <v>985</v>
      </c>
      <c r="E442">
        <v>11477</v>
      </c>
      <c r="F442" t="s">
        <v>1711</v>
      </c>
      <c r="G442" t="s">
        <v>1718</v>
      </c>
      <c r="H442" t="s">
        <v>988</v>
      </c>
      <c r="I442" t="s">
        <v>1028</v>
      </c>
      <c r="J442" t="s">
        <v>987</v>
      </c>
      <c r="K442" t="b">
        <v>1</v>
      </c>
      <c r="L442" t="b">
        <v>0</v>
      </c>
      <c r="M442" t="s">
        <v>987</v>
      </c>
      <c r="N442" t="s">
        <v>1713</v>
      </c>
      <c r="O442" t="s">
        <v>1714</v>
      </c>
      <c r="P442" t="s">
        <v>1715</v>
      </c>
      <c r="Q442" t="s">
        <v>1721</v>
      </c>
    </row>
    <row r="443" spans="1:17" x14ac:dyDescent="0.25">
      <c r="A443" t="s">
        <v>42</v>
      </c>
      <c r="B443" t="s">
        <v>1722</v>
      </c>
      <c r="C443" t="s">
        <v>274</v>
      </c>
      <c r="D443" t="s">
        <v>994</v>
      </c>
      <c r="E443">
        <v>14247</v>
      </c>
      <c r="F443" t="s">
        <v>1711</v>
      </c>
      <c r="G443" t="s">
        <v>1718</v>
      </c>
      <c r="H443" t="s">
        <v>988</v>
      </c>
      <c r="I443" t="s">
        <v>1045</v>
      </c>
      <c r="J443" t="s">
        <v>987</v>
      </c>
      <c r="K443" t="b">
        <v>1</v>
      </c>
      <c r="L443" t="b">
        <v>0</v>
      </c>
      <c r="M443" t="s">
        <v>987</v>
      </c>
      <c r="N443" t="s">
        <v>1713</v>
      </c>
      <c r="O443" t="s">
        <v>1714</v>
      </c>
      <c r="P443" t="s">
        <v>1715</v>
      </c>
      <c r="Q443" t="s">
        <v>1721</v>
      </c>
    </row>
    <row r="444" spans="1:17" x14ac:dyDescent="0.25">
      <c r="A444" t="s">
        <v>42</v>
      </c>
      <c r="B444" t="s">
        <v>1723</v>
      </c>
      <c r="C444" t="s">
        <v>274</v>
      </c>
      <c r="D444" t="s">
        <v>996</v>
      </c>
      <c r="E444">
        <v>11960</v>
      </c>
      <c r="F444" t="s">
        <v>1711</v>
      </c>
      <c r="G444" t="s">
        <v>1718</v>
      </c>
      <c r="H444" t="s">
        <v>988</v>
      </c>
      <c r="I444" t="s">
        <v>1048</v>
      </c>
      <c r="J444" t="s">
        <v>987</v>
      </c>
      <c r="K444" t="b">
        <v>1</v>
      </c>
      <c r="L444" t="b">
        <v>0</v>
      </c>
      <c r="M444" t="s">
        <v>987</v>
      </c>
      <c r="N444" t="s">
        <v>1713</v>
      </c>
      <c r="O444" t="s">
        <v>1714</v>
      </c>
      <c r="P444" t="s">
        <v>1715</v>
      </c>
      <c r="Q444" t="s">
        <v>1721</v>
      </c>
    </row>
    <row r="445" spans="1:17" x14ac:dyDescent="0.25">
      <c r="A445" t="s">
        <v>42</v>
      </c>
      <c r="B445" t="s">
        <v>1724</v>
      </c>
      <c r="C445" t="s">
        <v>274</v>
      </c>
      <c r="D445" t="s">
        <v>998</v>
      </c>
      <c r="E445">
        <v>11553</v>
      </c>
      <c r="F445" t="s">
        <v>1711</v>
      </c>
      <c r="G445" t="s">
        <v>1718</v>
      </c>
      <c r="H445" t="s">
        <v>988</v>
      </c>
      <c r="I445" t="s">
        <v>987</v>
      </c>
      <c r="J445" t="s">
        <v>987</v>
      </c>
      <c r="K445" t="b">
        <v>1</v>
      </c>
      <c r="L445" t="b">
        <v>0</v>
      </c>
      <c r="M445" t="s">
        <v>987</v>
      </c>
      <c r="N445" t="s">
        <v>1713</v>
      </c>
      <c r="O445" t="s">
        <v>1714</v>
      </c>
      <c r="P445" t="s">
        <v>1715</v>
      </c>
      <c r="Q445" t="s">
        <v>1721</v>
      </c>
    </row>
    <row r="446" spans="1:17" x14ac:dyDescent="0.25">
      <c r="A446" t="s">
        <v>42</v>
      </c>
      <c r="B446" t="s">
        <v>1725</v>
      </c>
      <c r="C446" t="s">
        <v>274</v>
      </c>
      <c r="D446" t="s">
        <v>1000</v>
      </c>
      <c r="E446">
        <v>14241</v>
      </c>
      <c r="F446" t="s">
        <v>1711</v>
      </c>
      <c r="G446" t="s">
        <v>1718</v>
      </c>
      <c r="H446" t="s">
        <v>988</v>
      </c>
      <c r="I446" t="s">
        <v>1054</v>
      </c>
      <c r="J446" t="s">
        <v>987</v>
      </c>
      <c r="K446" t="b">
        <v>1</v>
      </c>
      <c r="L446" t="b">
        <v>0</v>
      </c>
      <c r="M446" t="s">
        <v>987</v>
      </c>
      <c r="N446" t="s">
        <v>1713</v>
      </c>
      <c r="O446" t="s">
        <v>1714</v>
      </c>
      <c r="P446" t="s">
        <v>1715</v>
      </c>
      <c r="Q446" t="s">
        <v>1721</v>
      </c>
    </row>
    <row r="447" spans="1:17" x14ac:dyDescent="0.25">
      <c r="A447" t="s">
        <v>42</v>
      </c>
      <c r="B447" t="s">
        <v>1726</v>
      </c>
      <c r="C447" t="s">
        <v>274</v>
      </c>
      <c r="D447" t="s">
        <v>1002</v>
      </c>
      <c r="E447">
        <v>14264</v>
      </c>
      <c r="F447" t="s">
        <v>1711</v>
      </c>
      <c r="G447" t="s">
        <v>1718</v>
      </c>
      <c r="H447" t="s">
        <v>988</v>
      </c>
      <c r="I447" t="s">
        <v>1057</v>
      </c>
      <c r="J447" t="s">
        <v>987</v>
      </c>
      <c r="K447" t="b">
        <v>1</v>
      </c>
      <c r="L447" t="b">
        <v>0</v>
      </c>
      <c r="M447" t="s">
        <v>987</v>
      </c>
      <c r="N447" t="s">
        <v>1713</v>
      </c>
      <c r="O447" t="s">
        <v>1714</v>
      </c>
      <c r="P447" t="s">
        <v>1715</v>
      </c>
      <c r="Q447" t="s">
        <v>1721</v>
      </c>
    </row>
    <row r="448" spans="1:17" x14ac:dyDescent="0.25">
      <c r="A448" t="s">
        <v>42</v>
      </c>
      <c r="B448" t="s">
        <v>1727</v>
      </c>
      <c r="C448" t="s">
        <v>274</v>
      </c>
      <c r="D448" t="s">
        <v>1004</v>
      </c>
      <c r="E448">
        <v>11793</v>
      </c>
      <c r="F448" t="s">
        <v>1711</v>
      </c>
      <c r="G448" t="s">
        <v>1718</v>
      </c>
      <c r="H448" t="s">
        <v>988</v>
      </c>
      <c r="I448" t="s">
        <v>1060</v>
      </c>
      <c r="J448" t="s">
        <v>987</v>
      </c>
      <c r="K448" t="b">
        <v>1</v>
      </c>
      <c r="L448" t="b">
        <v>0</v>
      </c>
      <c r="M448" t="s">
        <v>987</v>
      </c>
      <c r="N448" t="s">
        <v>1713</v>
      </c>
      <c r="O448" t="s">
        <v>1714</v>
      </c>
      <c r="P448" t="s">
        <v>1715</v>
      </c>
      <c r="Q448" t="s">
        <v>1721</v>
      </c>
    </row>
    <row r="449" spans="1:17" x14ac:dyDescent="0.25">
      <c r="A449" t="s">
        <v>42</v>
      </c>
      <c r="B449" t="s">
        <v>1728</v>
      </c>
      <c r="C449" t="s">
        <v>274</v>
      </c>
      <c r="D449" t="s">
        <v>1006</v>
      </c>
      <c r="E449">
        <v>10817</v>
      </c>
      <c r="F449" t="s">
        <v>1711</v>
      </c>
      <c r="G449" t="s">
        <v>1718</v>
      </c>
      <c r="H449" t="s">
        <v>988</v>
      </c>
      <c r="I449" t="s">
        <v>987</v>
      </c>
      <c r="J449" t="s">
        <v>987</v>
      </c>
      <c r="K449" t="b">
        <v>1</v>
      </c>
      <c r="L449" t="b">
        <v>0</v>
      </c>
      <c r="M449" t="s">
        <v>987</v>
      </c>
      <c r="N449" t="s">
        <v>1713</v>
      </c>
      <c r="O449" t="s">
        <v>1714</v>
      </c>
      <c r="P449" t="s">
        <v>1715</v>
      </c>
      <c r="Q449" t="s">
        <v>1721</v>
      </c>
    </row>
    <row r="450" spans="1:17" x14ac:dyDescent="0.25">
      <c r="A450" t="s">
        <v>42</v>
      </c>
      <c r="B450" t="s">
        <v>1729</v>
      </c>
      <c r="C450" t="s">
        <v>274</v>
      </c>
      <c r="D450" t="s">
        <v>1008</v>
      </c>
      <c r="E450">
        <v>13404</v>
      </c>
      <c r="F450" t="s">
        <v>1711</v>
      </c>
      <c r="G450" t="s">
        <v>1718</v>
      </c>
      <c r="H450" t="s">
        <v>988</v>
      </c>
      <c r="I450" t="s">
        <v>1066</v>
      </c>
      <c r="J450" t="s">
        <v>987</v>
      </c>
      <c r="K450" t="b">
        <v>1</v>
      </c>
      <c r="L450" t="b">
        <v>0</v>
      </c>
      <c r="M450" t="s">
        <v>987</v>
      </c>
      <c r="N450" t="s">
        <v>1713</v>
      </c>
      <c r="O450" t="s">
        <v>1714</v>
      </c>
      <c r="P450" t="s">
        <v>1715</v>
      </c>
      <c r="Q450" t="s">
        <v>1721</v>
      </c>
    </row>
    <row r="451" spans="1:17" x14ac:dyDescent="0.25">
      <c r="A451" t="s">
        <v>42</v>
      </c>
      <c r="B451" t="s">
        <v>1730</v>
      </c>
      <c r="C451" t="s">
        <v>274</v>
      </c>
      <c r="D451" t="s">
        <v>1010</v>
      </c>
      <c r="E451">
        <v>18897</v>
      </c>
      <c r="F451" t="s">
        <v>1711</v>
      </c>
      <c r="G451" t="s">
        <v>1718</v>
      </c>
      <c r="H451" t="s">
        <v>988</v>
      </c>
      <c r="I451" t="s">
        <v>1057</v>
      </c>
      <c r="J451" t="s">
        <v>987</v>
      </c>
      <c r="K451" t="b">
        <v>1</v>
      </c>
      <c r="L451" t="b">
        <v>0</v>
      </c>
      <c r="M451" t="s">
        <v>987</v>
      </c>
      <c r="N451" t="s">
        <v>1713</v>
      </c>
      <c r="O451" t="s">
        <v>1714</v>
      </c>
      <c r="P451" t="s">
        <v>1715</v>
      </c>
      <c r="Q451" t="s">
        <v>1721</v>
      </c>
    </row>
    <row r="452" spans="1:17" x14ac:dyDescent="0.25">
      <c r="A452" t="s">
        <v>42</v>
      </c>
      <c r="B452" t="s">
        <v>1731</v>
      </c>
      <c r="C452" t="s">
        <v>274</v>
      </c>
      <c r="D452" t="s">
        <v>1012</v>
      </c>
      <c r="E452">
        <v>15734</v>
      </c>
      <c r="F452" t="s">
        <v>1711</v>
      </c>
      <c r="G452" t="s">
        <v>1718</v>
      </c>
      <c r="H452" t="s">
        <v>988</v>
      </c>
      <c r="I452" t="s">
        <v>1060</v>
      </c>
      <c r="J452" t="s">
        <v>987</v>
      </c>
      <c r="K452" t="b">
        <v>1</v>
      </c>
      <c r="L452" t="b">
        <v>0</v>
      </c>
      <c r="M452" t="s">
        <v>987</v>
      </c>
      <c r="N452" t="s">
        <v>1713</v>
      </c>
      <c r="O452" t="s">
        <v>1714</v>
      </c>
      <c r="P452" t="s">
        <v>1715</v>
      </c>
      <c r="Q452" t="s">
        <v>1721</v>
      </c>
    </row>
    <row r="453" spans="1:17" x14ac:dyDescent="0.25">
      <c r="A453" t="s">
        <v>42</v>
      </c>
      <c r="B453" t="s">
        <v>1732</v>
      </c>
      <c r="C453" t="s">
        <v>274</v>
      </c>
      <c r="D453" t="s">
        <v>1014</v>
      </c>
      <c r="E453">
        <v>12868</v>
      </c>
      <c r="F453" t="s">
        <v>1711</v>
      </c>
      <c r="G453" t="s">
        <v>1718</v>
      </c>
      <c r="H453" t="s">
        <v>988</v>
      </c>
      <c r="I453" t="s">
        <v>987</v>
      </c>
      <c r="J453" t="s">
        <v>987</v>
      </c>
      <c r="K453" t="b">
        <v>1</v>
      </c>
      <c r="L453" t="b">
        <v>0</v>
      </c>
      <c r="M453" t="s">
        <v>987</v>
      </c>
      <c r="N453" t="s">
        <v>1713</v>
      </c>
      <c r="O453" t="s">
        <v>1714</v>
      </c>
      <c r="P453" t="s">
        <v>1715</v>
      </c>
      <c r="Q453" t="s">
        <v>1721</v>
      </c>
    </row>
    <row r="454" spans="1:17" x14ac:dyDescent="0.25">
      <c r="A454" t="s">
        <v>42</v>
      </c>
      <c r="B454" t="s">
        <v>1733</v>
      </c>
      <c r="C454" t="s">
        <v>274</v>
      </c>
      <c r="D454" t="s">
        <v>1016</v>
      </c>
      <c r="E454">
        <v>17105</v>
      </c>
      <c r="F454" t="s">
        <v>1711</v>
      </c>
      <c r="G454" t="s">
        <v>1718</v>
      </c>
      <c r="H454" t="s">
        <v>988</v>
      </c>
      <c r="I454" t="s">
        <v>1066</v>
      </c>
      <c r="J454" t="s">
        <v>987</v>
      </c>
      <c r="K454" t="b">
        <v>1</v>
      </c>
      <c r="L454" t="b">
        <v>0</v>
      </c>
      <c r="M454" t="s">
        <v>987</v>
      </c>
      <c r="N454" t="s">
        <v>1713</v>
      </c>
      <c r="O454" t="s">
        <v>1714</v>
      </c>
      <c r="P454" t="s">
        <v>1715</v>
      </c>
      <c r="Q454" t="s">
        <v>1721</v>
      </c>
    </row>
    <row r="455" spans="1:17" x14ac:dyDescent="0.25">
      <c r="A455" t="s">
        <v>42</v>
      </c>
      <c r="B455" t="s">
        <v>1076</v>
      </c>
      <c r="C455" t="s">
        <v>281</v>
      </c>
      <c r="D455" t="s">
        <v>994</v>
      </c>
      <c r="E455">
        <v>-91</v>
      </c>
      <c r="F455" t="s">
        <v>1711</v>
      </c>
      <c r="G455" t="s">
        <v>1734</v>
      </c>
      <c r="H455" t="s">
        <v>988</v>
      </c>
      <c r="I455" t="s">
        <v>1034</v>
      </c>
      <c r="J455" t="s">
        <v>987</v>
      </c>
      <c r="K455" t="b">
        <v>1</v>
      </c>
      <c r="L455" t="b">
        <v>0</v>
      </c>
      <c r="M455" t="s">
        <v>987</v>
      </c>
      <c r="N455" t="s">
        <v>1713</v>
      </c>
      <c r="O455" t="s">
        <v>1714</v>
      </c>
      <c r="P455" t="s">
        <v>1715</v>
      </c>
      <c r="Q455" t="s">
        <v>1735</v>
      </c>
    </row>
    <row r="456" spans="1:17" x14ac:dyDescent="0.25">
      <c r="A456" t="s">
        <v>42</v>
      </c>
      <c r="B456" t="s">
        <v>1080</v>
      </c>
      <c r="C456" t="s">
        <v>281</v>
      </c>
      <c r="D456" t="s">
        <v>998</v>
      </c>
      <c r="E456">
        <v>-131</v>
      </c>
      <c r="F456" t="s">
        <v>1711</v>
      </c>
      <c r="G456" t="s">
        <v>1734</v>
      </c>
      <c r="H456" t="s">
        <v>988</v>
      </c>
      <c r="I456" t="s">
        <v>987</v>
      </c>
      <c r="J456" t="s">
        <v>987</v>
      </c>
      <c r="K456" t="b">
        <v>1</v>
      </c>
      <c r="L456" t="b">
        <v>0</v>
      </c>
      <c r="M456" t="s">
        <v>987</v>
      </c>
      <c r="N456" t="s">
        <v>1713</v>
      </c>
      <c r="O456" t="s">
        <v>1714</v>
      </c>
      <c r="P456" t="s">
        <v>1715</v>
      </c>
      <c r="Q456" t="s">
        <v>1735</v>
      </c>
    </row>
    <row r="457" spans="1:17" x14ac:dyDescent="0.25">
      <c r="A457" t="s">
        <v>42</v>
      </c>
      <c r="B457" t="s">
        <v>1321</v>
      </c>
      <c r="C457" t="s">
        <v>338</v>
      </c>
      <c r="D457" t="s">
        <v>985</v>
      </c>
      <c r="E457">
        <v>2901</v>
      </c>
      <c r="F457" t="s">
        <v>1711</v>
      </c>
      <c r="G457" t="s">
        <v>485</v>
      </c>
      <c r="H457" t="s">
        <v>1137</v>
      </c>
      <c r="I457" t="s">
        <v>1159</v>
      </c>
      <c r="J457" t="s">
        <v>987</v>
      </c>
      <c r="K457" t="b">
        <v>1</v>
      </c>
      <c r="L457" t="b">
        <v>0</v>
      </c>
      <c r="M457" t="s">
        <v>987</v>
      </c>
      <c r="N457" t="s">
        <v>1713</v>
      </c>
      <c r="O457" t="s">
        <v>1714</v>
      </c>
      <c r="P457" t="s">
        <v>1715</v>
      </c>
      <c r="Q457" t="s">
        <v>1736</v>
      </c>
    </row>
    <row r="458" spans="1:17" x14ac:dyDescent="0.25">
      <c r="A458" t="s">
        <v>42</v>
      </c>
      <c r="B458" t="s">
        <v>1322</v>
      </c>
      <c r="C458" t="s">
        <v>338</v>
      </c>
      <c r="D458" t="s">
        <v>994</v>
      </c>
      <c r="E458">
        <v>2146</v>
      </c>
      <c r="F458" t="s">
        <v>1711</v>
      </c>
      <c r="G458" t="s">
        <v>485</v>
      </c>
      <c r="H458" t="s">
        <v>1137</v>
      </c>
      <c r="I458" t="s">
        <v>1034</v>
      </c>
      <c r="J458" t="s">
        <v>987</v>
      </c>
      <c r="K458" t="b">
        <v>1</v>
      </c>
      <c r="L458" t="b">
        <v>0</v>
      </c>
      <c r="M458" t="s">
        <v>987</v>
      </c>
      <c r="N458" t="s">
        <v>1713</v>
      </c>
      <c r="O458" t="s">
        <v>1714</v>
      </c>
      <c r="P458" t="s">
        <v>1715</v>
      </c>
      <c r="Q458" t="s">
        <v>1736</v>
      </c>
    </row>
    <row r="459" spans="1:17" x14ac:dyDescent="0.25">
      <c r="A459" t="s">
        <v>42</v>
      </c>
      <c r="B459" t="s">
        <v>1323</v>
      </c>
      <c r="C459" t="s">
        <v>338</v>
      </c>
      <c r="D459" t="s">
        <v>996</v>
      </c>
      <c r="E459">
        <v>3052</v>
      </c>
      <c r="F459" t="s">
        <v>1711</v>
      </c>
      <c r="G459" t="s">
        <v>485</v>
      </c>
      <c r="H459" t="s">
        <v>1137</v>
      </c>
      <c r="I459" t="s">
        <v>1037</v>
      </c>
      <c r="J459" t="s">
        <v>987</v>
      </c>
      <c r="K459" t="b">
        <v>1</v>
      </c>
      <c r="L459" t="b">
        <v>0</v>
      </c>
      <c r="M459" t="s">
        <v>987</v>
      </c>
      <c r="N459" t="s">
        <v>1713</v>
      </c>
      <c r="O459" t="s">
        <v>1714</v>
      </c>
      <c r="P459" t="s">
        <v>1715</v>
      </c>
      <c r="Q459" t="s">
        <v>1736</v>
      </c>
    </row>
    <row r="460" spans="1:17" x14ac:dyDescent="0.25">
      <c r="A460" t="s">
        <v>42</v>
      </c>
      <c r="B460" t="s">
        <v>1324</v>
      </c>
      <c r="C460" t="s">
        <v>338</v>
      </c>
      <c r="D460" t="s">
        <v>998</v>
      </c>
      <c r="E460">
        <v>4451</v>
      </c>
      <c r="F460" t="s">
        <v>1711</v>
      </c>
      <c r="G460" t="s">
        <v>485</v>
      </c>
      <c r="H460" t="s">
        <v>1137</v>
      </c>
      <c r="I460" t="s">
        <v>1154</v>
      </c>
      <c r="J460" t="s">
        <v>987</v>
      </c>
      <c r="K460" t="b">
        <v>1</v>
      </c>
      <c r="L460" t="b">
        <v>0</v>
      </c>
      <c r="M460" t="s">
        <v>987</v>
      </c>
      <c r="N460" t="s">
        <v>1713</v>
      </c>
      <c r="O460" t="s">
        <v>1714</v>
      </c>
      <c r="P460" t="s">
        <v>1715</v>
      </c>
      <c r="Q460" t="s">
        <v>1736</v>
      </c>
    </row>
    <row r="461" spans="1:17" x14ac:dyDescent="0.25">
      <c r="A461" t="s">
        <v>42</v>
      </c>
      <c r="B461" t="s">
        <v>1325</v>
      </c>
      <c r="C461" t="s">
        <v>338</v>
      </c>
      <c r="D461" t="s">
        <v>1000</v>
      </c>
      <c r="E461">
        <v>3303</v>
      </c>
      <c r="F461" t="s">
        <v>1711</v>
      </c>
      <c r="G461" t="s">
        <v>485</v>
      </c>
      <c r="H461" t="s">
        <v>1137</v>
      </c>
      <c r="I461" t="s">
        <v>1028</v>
      </c>
      <c r="J461" t="s">
        <v>987</v>
      </c>
      <c r="K461" t="b">
        <v>1</v>
      </c>
      <c r="L461" t="b">
        <v>0</v>
      </c>
      <c r="M461" t="s">
        <v>987</v>
      </c>
      <c r="N461" t="s">
        <v>1713</v>
      </c>
      <c r="O461" t="s">
        <v>1714</v>
      </c>
      <c r="P461" t="s">
        <v>1715</v>
      </c>
      <c r="Q461" t="s">
        <v>1736</v>
      </c>
    </row>
    <row r="462" spans="1:17" x14ac:dyDescent="0.25">
      <c r="A462" t="s">
        <v>42</v>
      </c>
      <c r="B462" t="s">
        <v>1326</v>
      </c>
      <c r="C462" t="s">
        <v>338</v>
      </c>
      <c r="D462" t="s">
        <v>1002</v>
      </c>
      <c r="E462">
        <v>4824</v>
      </c>
      <c r="F462" t="s">
        <v>1711</v>
      </c>
      <c r="G462" t="s">
        <v>485</v>
      </c>
      <c r="H462" t="s">
        <v>1137</v>
      </c>
      <c r="I462" t="s">
        <v>1045</v>
      </c>
      <c r="J462" t="s">
        <v>987</v>
      </c>
      <c r="K462" t="b">
        <v>1</v>
      </c>
      <c r="L462" t="b">
        <v>0</v>
      </c>
      <c r="M462" t="s">
        <v>987</v>
      </c>
      <c r="N462" t="s">
        <v>1713</v>
      </c>
      <c r="O462" t="s">
        <v>1714</v>
      </c>
      <c r="P462" t="s">
        <v>1715</v>
      </c>
      <c r="Q462" t="s">
        <v>1736</v>
      </c>
    </row>
    <row r="463" spans="1:17" x14ac:dyDescent="0.25">
      <c r="A463" t="s">
        <v>42</v>
      </c>
      <c r="B463" t="s">
        <v>1327</v>
      </c>
      <c r="C463" t="s">
        <v>338</v>
      </c>
      <c r="D463" t="s">
        <v>1004</v>
      </c>
      <c r="E463">
        <v>7045</v>
      </c>
      <c r="F463" t="s">
        <v>1711</v>
      </c>
      <c r="G463" t="s">
        <v>485</v>
      </c>
      <c r="H463" t="s">
        <v>1137</v>
      </c>
      <c r="I463" t="s">
        <v>1048</v>
      </c>
      <c r="J463" t="s">
        <v>987</v>
      </c>
      <c r="K463" t="b">
        <v>1</v>
      </c>
      <c r="L463" t="b">
        <v>0</v>
      </c>
      <c r="M463" t="s">
        <v>987</v>
      </c>
      <c r="N463" t="s">
        <v>1713</v>
      </c>
      <c r="O463" t="s">
        <v>1714</v>
      </c>
      <c r="P463" t="s">
        <v>1715</v>
      </c>
      <c r="Q463" t="s">
        <v>1736</v>
      </c>
    </row>
    <row r="464" spans="1:17" x14ac:dyDescent="0.25">
      <c r="A464" t="s">
        <v>42</v>
      </c>
      <c r="B464" t="s">
        <v>1328</v>
      </c>
      <c r="C464" t="s">
        <v>338</v>
      </c>
      <c r="D464" t="s">
        <v>1006</v>
      </c>
      <c r="E464">
        <v>6139</v>
      </c>
      <c r="F464" t="s">
        <v>1711</v>
      </c>
      <c r="G464" t="s">
        <v>485</v>
      </c>
      <c r="H464" t="s">
        <v>1137</v>
      </c>
      <c r="I464" t="s">
        <v>1154</v>
      </c>
      <c r="J464" t="s">
        <v>987</v>
      </c>
      <c r="K464" t="b">
        <v>1</v>
      </c>
      <c r="L464" t="b">
        <v>0</v>
      </c>
      <c r="M464" t="s">
        <v>987</v>
      </c>
      <c r="N464" t="s">
        <v>1713</v>
      </c>
      <c r="O464" t="s">
        <v>1714</v>
      </c>
      <c r="P464" t="s">
        <v>1715</v>
      </c>
      <c r="Q464" t="s">
        <v>1736</v>
      </c>
    </row>
    <row r="465" spans="1:17" x14ac:dyDescent="0.25">
      <c r="A465" t="s">
        <v>42</v>
      </c>
      <c r="B465" t="s">
        <v>1341</v>
      </c>
      <c r="C465" t="s">
        <v>338</v>
      </c>
      <c r="D465" t="s">
        <v>1016</v>
      </c>
      <c r="E465">
        <v>598</v>
      </c>
      <c r="F465" t="s">
        <v>1711</v>
      </c>
      <c r="G465" t="s">
        <v>485</v>
      </c>
      <c r="H465" t="s">
        <v>1137</v>
      </c>
      <c r="I465" t="s">
        <v>1066</v>
      </c>
      <c r="J465" t="s">
        <v>987</v>
      </c>
      <c r="K465" t="b">
        <v>1</v>
      </c>
      <c r="L465" t="b">
        <v>0</v>
      </c>
      <c r="M465" t="s">
        <v>987</v>
      </c>
      <c r="N465" t="s">
        <v>1713</v>
      </c>
      <c r="O465" t="s">
        <v>1714</v>
      </c>
      <c r="P465" t="s">
        <v>1715</v>
      </c>
      <c r="Q465" t="s">
        <v>1736</v>
      </c>
    </row>
    <row r="466" spans="1:17" x14ac:dyDescent="0.25">
      <c r="A466" t="s">
        <v>42</v>
      </c>
      <c r="B466" t="s">
        <v>1430</v>
      </c>
      <c r="C466" t="s">
        <v>348</v>
      </c>
      <c r="D466" t="s">
        <v>985</v>
      </c>
      <c r="E466">
        <v>-1784</v>
      </c>
      <c r="F466" t="s">
        <v>1711</v>
      </c>
      <c r="G466" t="s">
        <v>486</v>
      </c>
      <c r="H466" t="s">
        <v>1137</v>
      </c>
      <c r="I466" t="s">
        <v>1159</v>
      </c>
      <c r="J466" t="s">
        <v>987</v>
      </c>
      <c r="K466" t="b">
        <v>1</v>
      </c>
      <c r="L466" t="b">
        <v>0</v>
      </c>
      <c r="M466" t="s">
        <v>987</v>
      </c>
      <c r="N466" t="s">
        <v>1713</v>
      </c>
      <c r="O466" t="s">
        <v>1714</v>
      </c>
      <c r="P466" t="s">
        <v>1715</v>
      </c>
      <c r="Q466" t="s">
        <v>1737</v>
      </c>
    </row>
    <row r="467" spans="1:17" x14ac:dyDescent="0.25">
      <c r="A467" t="s">
        <v>42</v>
      </c>
      <c r="B467" t="s">
        <v>1431</v>
      </c>
      <c r="C467" t="s">
        <v>348</v>
      </c>
      <c r="D467" t="s">
        <v>994</v>
      </c>
      <c r="E467">
        <v>-1783</v>
      </c>
      <c r="F467" t="s">
        <v>1711</v>
      </c>
      <c r="G467" t="s">
        <v>486</v>
      </c>
      <c r="H467" t="s">
        <v>1137</v>
      </c>
      <c r="I467" t="s">
        <v>1034</v>
      </c>
      <c r="J467" t="s">
        <v>987</v>
      </c>
      <c r="K467" t="b">
        <v>1</v>
      </c>
      <c r="L467" t="b">
        <v>0</v>
      </c>
      <c r="M467" t="s">
        <v>987</v>
      </c>
      <c r="N467" t="s">
        <v>1713</v>
      </c>
      <c r="O467" t="s">
        <v>1714</v>
      </c>
      <c r="P467" t="s">
        <v>1715</v>
      </c>
      <c r="Q467" t="s">
        <v>1737</v>
      </c>
    </row>
    <row r="468" spans="1:17" x14ac:dyDescent="0.25">
      <c r="A468" t="s">
        <v>42</v>
      </c>
      <c r="B468" t="s">
        <v>1432</v>
      </c>
      <c r="C468" t="s">
        <v>348</v>
      </c>
      <c r="D468" t="s">
        <v>996</v>
      </c>
      <c r="E468">
        <v>-1377</v>
      </c>
      <c r="F468" t="s">
        <v>1711</v>
      </c>
      <c r="G468" t="s">
        <v>486</v>
      </c>
      <c r="H468" t="s">
        <v>1137</v>
      </c>
      <c r="I468" t="s">
        <v>1037</v>
      </c>
      <c r="J468" t="s">
        <v>987</v>
      </c>
      <c r="K468" t="b">
        <v>1</v>
      </c>
      <c r="L468" t="b">
        <v>0</v>
      </c>
      <c r="M468" t="s">
        <v>987</v>
      </c>
      <c r="N468" t="s">
        <v>1713</v>
      </c>
      <c r="O468" t="s">
        <v>1714</v>
      </c>
      <c r="P468" t="s">
        <v>1715</v>
      </c>
      <c r="Q468" t="s">
        <v>1737</v>
      </c>
    </row>
    <row r="469" spans="1:17" x14ac:dyDescent="0.25">
      <c r="A469" t="s">
        <v>42</v>
      </c>
      <c r="B469" t="s">
        <v>1433</v>
      </c>
      <c r="C469" t="s">
        <v>348</v>
      </c>
      <c r="D469" t="s">
        <v>998</v>
      </c>
      <c r="E469">
        <v>-1903</v>
      </c>
      <c r="F469" t="s">
        <v>1711</v>
      </c>
      <c r="G469" t="s">
        <v>486</v>
      </c>
      <c r="H469" t="s">
        <v>1137</v>
      </c>
      <c r="I469" t="s">
        <v>1166</v>
      </c>
      <c r="J469" t="s">
        <v>987</v>
      </c>
      <c r="K469" t="b">
        <v>1</v>
      </c>
      <c r="L469" t="b">
        <v>0</v>
      </c>
      <c r="M469" t="s">
        <v>987</v>
      </c>
      <c r="N469" t="s">
        <v>1713</v>
      </c>
      <c r="O469" t="s">
        <v>1714</v>
      </c>
      <c r="P469" t="s">
        <v>1715</v>
      </c>
      <c r="Q469" t="s">
        <v>1737</v>
      </c>
    </row>
    <row r="470" spans="1:17" x14ac:dyDescent="0.25">
      <c r="A470" t="s">
        <v>42</v>
      </c>
      <c r="B470" t="s">
        <v>1434</v>
      </c>
      <c r="C470" t="s">
        <v>348</v>
      </c>
      <c r="D470" t="s">
        <v>1000</v>
      </c>
      <c r="E470">
        <v>-4381</v>
      </c>
      <c r="F470" t="s">
        <v>1711</v>
      </c>
      <c r="G470" t="s">
        <v>486</v>
      </c>
      <c r="H470" t="s">
        <v>1137</v>
      </c>
      <c r="I470" t="s">
        <v>1028</v>
      </c>
      <c r="J470" t="s">
        <v>987</v>
      </c>
      <c r="K470" t="b">
        <v>1</v>
      </c>
      <c r="L470" t="b">
        <v>0</v>
      </c>
      <c r="M470" t="s">
        <v>987</v>
      </c>
      <c r="N470" t="s">
        <v>1713</v>
      </c>
      <c r="O470" t="s">
        <v>1714</v>
      </c>
      <c r="P470" t="s">
        <v>1715</v>
      </c>
      <c r="Q470" t="s">
        <v>1737</v>
      </c>
    </row>
    <row r="471" spans="1:17" x14ac:dyDescent="0.25">
      <c r="A471" t="s">
        <v>42</v>
      </c>
      <c r="B471" t="s">
        <v>1435</v>
      </c>
      <c r="C471" t="s">
        <v>348</v>
      </c>
      <c r="D471" t="s">
        <v>1002</v>
      </c>
      <c r="E471">
        <v>-4079</v>
      </c>
      <c r="F471" t="s">
        <v>1711</v>
      </c>
      <c r="G471" t="s">
        <v>486</v>
      </c>
      <c r="H471" t="s">
        <v>1137</v>
      </c>
      <c r="I471" t="s">
        <v>1045</v>
      </c>
      <c r="J471" t="s">
        <v>987</v>
      </c>
      <c r="K471" t="b">
        <v>1</v>
      </c>
      <c r="L471" t="b">
        <v>0</v>
      </c>
      <c r="M471" t="s">
        <v>987</v>
      </c>
      <c r="N471" t="s">
        <v>1713</v>
      </c>
      <c r="O471" t="s">
        <v>1714</v>
      </c>
      <c r="P471" t="s">
        <v>1715</v>
      </c>
      <c r="Q471" t="s">
        <v>1737</v>
      </c>
    </row>
    <row r="472" spans="1:17" x14ac:dyDescent="0.25">
      <c r="A472" t="s">
        <v>42</v>
      </c>
      <c r="B472" t="s">
        <v>1436</v>
      </c>
      <c r="C472" t="s">
        <v>348</v>
      </c>
      <c r="D472" t="s">
        <v>1004</v>
      </c>
      <c r="E472">
        <v>-4411</v>
      </c>
      <c r="F472" t="s">
        <v>1711</v>
      </c>
      <c r="G472" t="s">
        <v>486</v>
      </c>
      <c r="H472" t="s">
        <v>1137</v>
      </c>
      <c r="I472" t="s">
        <v>1048</v>
      </c>
      <c r="J472" t="s">
        <v>987</v>
      </c>
      <c r="K472" t="b">
        <v>1</v>
      </c>
      <c r="L472" t="b">
        <v>0</v>
      </c>
      <c r="M472" t="s">
        <v>987</v>
      </c>
      <c r="N472" t="s">
        <v>1713</v>
      </c>
      <c r="O472" t="s">
        <v>1714</v>
      </c>
      <c r="P472" t="s">
        <v>1715</v>
      </c>
      <c r="Q472" t="s">
        <v>1737</v>
      </c>
    </row>
    <row r="473" spans="1:17" x14ac:dyDescent="0.25">
      <c r="A473" t="s">
        <v>42</v>
      </c>
      <c r="B473" t="s">
        <v>1437</v>
      </c>
      <c r="C473" t="s">
        <v>348</v>
      </c>
      <c r="D473" t="s">
        <v>1006</v>
      </c>
      <c r="E473">
        <v>-7528</v>
      </c>
      <c r="F473" t="s">
        <v>1711</v>
      </c>
      <c r="G473" t="s">
        <v>486</v>
      </c>
      <c r="H473" t="s">
        <v>1137</v>
      </c>
      <c r="I473" t="s">
        <v>1154</v>
      </c>
      <c r="J473" t="s">
        <v>987</v>
      </c>
      <c r="K473" t="b">
        <v>1</v>
      </c>
      <c r="L473" t="b">
        <v>0</v>
      </c>
      <c r="M473" t="s">
        <v>987</v>
      </c>
      <c r="N473" t="s">
        <v>1713</v>
      </c>
      <c r="O473" t="s">
        <v>1714</v>
      </c>
      <c r="P473" t="s">
        <v>1715</v>
      </c>
      <c r="Q473" t="s">
        <v>1737</v>
      </c>
    </row>
    <row r="474" spans="1:17" x14ac:dyDescent="0.25">
      <c r="A474" t="s">
        <v>42</v>
      </c>
      <c r="B474" t="s">
        <v>1438</v>
      </c>
      <c r="C474" t="s">
        <v>348</v>
      </c>
      <c r="D474" t="s">
        <v>1008</v>
      </c>
      <c r="E474">
        <v>-7546</v>
      </c>
      <c r="F474" t="s">
        <v>1711</v>
      </c>
      <c r="G474" t="s">
        <v>486</v>
      </c>
      <c r="H474" t="s">
        <v>1137</v>
      </c>
      <c r="I474" t="s">
        <v>1054</v>
      </c>
      <c r="J474" t="s">
        <v>987</v>
      </c>
      <c r="K474" t="b">
        <v>1</v>
      </c>
      <c r="L474" t="b">
        <v>0</v>
      </c>
      <c r="M474" t="s">
        <v>987</v>
      </c>
      <c r="N474" t="s">
        <v>1713</v>
      </c>
      <c r="O474" t="s">
        <v>1714</v>
      </c>
      <c r="P474" t="s">
        <v>1715</v>
      </c>
      <c r="Q474" t="s">
        <v>1737</v>
      </c>
    </row>
    <row r="475" spans="1:17" x14ac:dyDescent="0.25">
      <c r="A475" t="s">
        <v>42</v>
      </c>
      <c r="B475" t="s">
        <v>1441</v>
      </c>
      <c r="C475" t="s">
        <v>348</v>
      </c>
      <c r="D475" t="s">
        <v>1010</v>
      </c>
      <c r="E475">
        <v>-7417</v>
      </c>
      <c r="F475" t="s">
        <v>1711</v>
      </c>
      <c r="G475" t="s">
        <v>486</v>
      </c>
      <c r="H475" t="s">
        <v>1137</v>
      </c>
      <c r="I475" t="s">
        <v>1057</v>
      </c>
      <c r="J475" t="s">
        <v>987</v>
      </c>
      <c r="K475" t="b">
        <v>1</v>
      </c>
      <c r="L475" t="b">
        <v>0</v>
      </c>
      <c r="M475" t="s">
        <v>987</v>
      </c>
      <c r="N475" t="s">
        <v>1713</v>
      </c>
      <c r="O475" t="s">
        <v>1714</v>
      </c>
      <c r="P475" t="s">
        <v>1715</v>
      </c>
      <c r="Q475" t="s">
        <v>1737</v>
      </c>
    </row>
    <row r="476" spans="1:17" x14ac:dyDescent="0.25">
      <c r="A476" t="s">
        <v>42</v>
      </c>
      <c r="B476" t="s">
        <v>1443</v>
      </c>
      <c r="C476" t="s">
        <v>348</v>
      </c>
      <c r="D476" t="s">
        <v>1012</v>
      </c>
      <c r="E476">
        <v>-8609</v>
      </c>
      <c r="F476" t="s">
        <v>1711</v>
      </c>
      <c r="G476" t="s">
        <v>486</v>
      </c>
      <c r="H476" t="s">
        <v>1137</v>
      </c>
      <c r="I476" t="s">
        <v>1060</v>
      </c>
      <c r="J476" t="s">
        <v>987</v>
      </c>
      <c r="K476" t="b">
        <v>1</v>
      </c>
      <c r="L476" t="b">
        <v>0</v>
      </c>
      <c r="M476" t="s">
        <v>987</v>
      </c>
      <c r="N476" t="s">
        <v>1713</v>
      </c>
      <c r="O476" t="s">
        <v>1714</v>
      </c>
      <c r="P476" t="s">
        <v>1715</v>
      </c>
      <c r="Q476" t="s">
        <v>1737</v>
      </c>
    </row>
    <row r="477" spans="1:17" x14ac:dyDescent="0.25">
      <c r="A477" t="s">
        <v>42</v>
      </c>
      <c r="B477" t="s">
        <v>1445</v>
      </c>
      <c r="C477" t="s">
        <v>348</v>
      </c>
      <c r="D477" t="s">
        <v>1014</v>
      </c>
      <c r="E477">
        <v>-12695</v>
      </c>
      <c r="F477" t="s">
        <v>1711</v>
      </c>
      <c r="G477" t="s">
        <v>486</v>
      </c>
      <c r="H477" t="s">
        <v>1137</v>
      </c>
      <c r="I477" t="s">
        <v>1154</v>
      </c>
      <c r="J477" t="s">
        <v>987</v>
      </c>
      <c r="K477" t="b">
        <v>1</v>
      </c>
      <c r="L477" t="b">
        <v>0</v>
      </c>
      <c r="M477" t="s">
        <v>987</v>
      </c>
      <c r="N477" t="s">
        <v>1713</v>
      </c>
      <c r="O477" t="s">
        <v>1714</v>
      </c>
      <c r="P477" t="s">
        <v>1715</v>
      </c>
      <c r="Q477" t="s">
        <v>1737</v>
      </c>
    </row>
    <row r="478" spans="1:17" x14ac:dyDescent="0.25">
      <c r="A478" t="s">
        <v>42</v>
      </c>
      <c r="B478" t="s">
        <v>1448</v>
      </c>
      <c r="C478" t="s">
        <v>348</v>
      </c>
      <c r="D478" t="s">
        <v>1016</v>
      </c>
      <c r="E478">
        <v>-10238</v>
      </c>
      <c r="F478" t="s">
        <v>1711</v>
      </c>
      <c r="G478" t="s">
        <v>486</v>
      </c>
      <c r="H478" t="s">
        <v>1137</v>
      </c>
      <c r="I478" t="s">
        <v>1066</v>
      </c>
      <c r="J478" t="s">
        <v>987</v>
      </c>
      <c r="K478" t="b">
        <v>1</v>
      </c>
      <c r="L478" t="b">
        <v>0</v>
      </c>
      <c r="M478" t="s">
        <v>987</v>
      </c>
      <c r="N478" t="s">
        <v>1713</v>
      </c>
      <c r="O478" t="s">
        <v>1714</v>
      </c>
      <c r="P478" t="s">
        <v>1715</v>
      </c>
      <c r="Q478" t="s">
        <v>1737</v>
      </c>
    </row>
    <row r="479" spans="1:17" x14ac:dyDescent="0.25">
      <c r="A479" t="s">
        <v>42</v>
      </c>
      <c r="B479" t="s">
        <v>1553</v>
      </c>
      <c r="C479" t="s">
        <v>356</v>
      </c>
      <c r="D479" t="s">
        <v>985</v>
      </c>
      <c r="E479">
        <v>3572</v>
      </c>
      <c r="F479" t="s">
        <v>1711</v>
      </c>
      <c r="G479" t="s">
        <v>485</v>
      </c>
      <c r="H479" t="s">
        <v>1137</v>
      </c>
      <c r="I479" t="s">
        <v>1159</v>
      </c>
      <c r="J479" t="s">
        <v>987</v>
      </c>
      <c r="K479" t="b">
        <v>1</v>
      </c>
      <c r="L479" t="b">
        <v>0</v>
      </c>
      <c r="M479" t="s">
        <v>987</v>
      </c>
      <c r="N479" t="s">
        <v>1713</v>
      </c>
      <c r="O479" t="s">
        <v>1714</v>
      </c>
      <c r="P479" t="s">
        <v>1715</v>
      </c>
      <c r="Q479" t="s">
        <v>1738</v>
      </c>
    </row>
    <row r="480" spans="1:17" x14ac:dyDescent="0.25">
      <c r="A480" t="s">
        <v>42</v>
      </c>
      <c r="B480" t="s">
        <v>1555</v>
      </c>
      <c r="C480" t="s">
        <v>356</v>
      </c>
      <c r="D480" t="s">
        <v>994</v>
      </c>
      <c r="E480">
        <v>3658</v>
      </c>
      <c r="F480" t="s">
        <v>1711</v>
      </c>
      <c r="G480" t="s">
        <v>485</v>
      </c>
      <c r="H480" t="s">
        <v>1137</v>
      </c>
      <c r="I480" t="s">
        <v>1034</v>
      </c>
      <c r="J480" t="s">
        <v>987</v>
      </c>
      <c r="K480" t="b">
        <v>1</v>
      </c>
      <c r="L480" t="b">
        <v>0</v>
      </c>
      <c r="M480" t="s">
        <v>987</v>
      </c>
      <c r="N480" t="s">
        <v>1713</v>
      </c>
      <c r="O480" t="s">
        <v>1714</v>
      </c>
      <c r="P480" t="s">
        <v>1715</v>
      </c>
      <c r="Q480" t="s">
        <v>1738</v>
      </c>
    </row>
    <row r="481" spans="1:17" x14ac:dyDescent="0.25">
      <c r="A481" t="s">
        <v>42</v>
      </c>
      <c r="B481" t="s">
        <v>1557</v>
      </c>
      <c r="C481" t="s">
        <v>356</v>
      </c>
      <c r="D481" t="s">
        <v>996</v>
      </c>
      <c r="E481">
        <v>3717</v>
      </c>
      <c r="F481" t="s">
        <v>1711</v>
      </c>
      <c r="G481" t="s">
        <v>485</v>
      </c>
      <c r="H481" t="s">
        <v>1137</v>
      </c>
      <c r="I481" t="s">
        <v>1037</v>
      </c>
      <c r="J481" t="s">
        <v>987</v>
      </c>
      <c r="K481" t="b">
        <v>1</v>
      </c>
      <c r="L481" t="b">
        <v>0</v>
      </c>
      <c r="M481" t="s">
        <v>987</v>
      </c>
      <c r="N481" t="s">
        <v>1713</v>
      </c>
      <c r="O481" t="s">
        <v>1714</v>
      </c>
      <c r="P481" t="s">
        <v>1715</v>
      </c>
      <c r="Q481" t="s">
        <v>1738</v>
      </c>
    </row>
    <row r="482" spans="1:17" x14ac:dyDescent="0.25">
      <c r="A482" t="s">
        <v>42</v>
      </c>
      <c r="B482" t="s">
        <v>1559</v>
      </c>
      <c r="C482" t="s">
        <v>356</v>
      </c>
      <c r="D482" t="s">
        <v>998</v>
      </c>
      <c r="E482">
        <v>3900</v>
      </c>
      <c r="F482" t="s">
        <v>1711</v>
      </c>
      <c r="G482" t="s">
        <v>485</v>
      </c>
      <c r="H482" t="s">
        <v>1137</v>
      </c>
      <c r="I482" t="s">
        <v>1154</v>
      </c>
      <c r="J482" t="s">
        <v>987</v>
      </c>
      <c r="K482" t="b">
        <v>1</v>
      </c>
      <c r="L482" t="b">
        <v>0</v>
      </c>
      <c r="M482" t="s">
        <v>987</v>
      </c>
      <c r="N482" t="s">
        <v>1713</v>
      </c>
      <c r="O482" t="s">
        <v>1714</v>
      </c>
      <c r="P482" t="s">
        <v>1715</v>
      </c>
      <c r="Q482" t="s">
        <v>1738</v>
      </c>
    </row>
    <row r="483" spans="1:17" x14ac:dyDescent="0.25">
      <c r="A483" t="s">
        <v>42</v>
      </c>
      <c r="B483" t="s">
        <v>1561</v>
      </c>
      <c r="C483" t="s">
        <v>356</v>
      </c>
      <c r="D483" t="s">
        <v>1000</v>
      </c>
      <c r="E483">
        <v>4218</v>
      </c>
      <c r="F483" t="s">
        <v>1711</v>
      </c>
      <c r="G483" t="s">
        <v>485</v>
      </c>
      <c r="H483" t="s">
        <v>1137</v>
      </c>
      <c r="I483" t="s">
        <v>1028</v>
      </c>
      <c r="J483" t="s">
        <v>987</v>
      </c>
      <c r="K483" t="b">
        <v>1</v>
      </c>
      <c r="L483" t="b">
        <v>0</v>
      </c>
      <c r="M483" t="s">
        <v>987</v>
      </c>
      <c r="N483" t="s">
        <v>1713</v>
      </c>
      <c r="O483" t="s">
        <v>1714</v>
      </c>
      <c r="P483" t="s">
        <v>1715</v>
      </c>
      <c r="Q483" t="s">
        <v>1738</v>
      </c>
    </row>
    <row r="484" spans="1:17" x14ac:dyDescent="0.25">
      <c r="A484" t="s">
        <v>42</v>
      </c>
      <c r="B484" t="s">
        <v>1563</v>
      </c>
      <c r="C484" t="s">
        <v>356</v>
      </c>
      <c r="D484" t="s">
        <v>1002</v>
      </c>
      <c r="E484">
        <v>4394</v>
      </c>
      <c r="F484" t="s">
        <v>1711</v>
      </c>
      <c r="G484" t="s">
        <v>485</v>
      </c>
      <c r="H484" t="s">
        <v>1137</v>
      </c>
      <c r="I484" t="s">
        <v>1045</v>
      </c>
      <c r="J484" t="s">
        <v>987</v>
      </c>
      <c r="K484" t="b">
        <v>1</v>
      </c>
      <c r="L484" t="b">
        <v>0</v>
      </c>
      <c r="M484" t="s">
        <v>987</v>
      </c>
      <c r="N484" t="s">
        <v>1713</v>
      </c>
      <c r="O484" t="s">
        <v>1714</v>
      </c>
      <c r="P484" t="s">
        <v>1715</v>
      </c>
      <c r="Q484" t="s">
        <v>1738</v>
      </c>
    </row>
    <row r="485" spans="1:17" x14ac:dyDescent="0.25">
      <c r="A485" t="s">
        <v>42</v>
      </c>
      <c r="B485" t="s">
        <v>1565</v>
      </c>
      <c r="C485" t="s">
        <v>356</v>
      </c>
      <c r="D485" t="s">
        <v>1004</v>
      </c>
      <c r="E485">
        <v>4241</v>
      </c>
      <c r="F485" t="s">
        <v>1711</v>
      </c>
      <c r="G485" t="s">
        <v>485</v>
      </c>
      <c r="H485" t="s">
        <v>1137</v>
      </c>
      <c r="I485" t="s">
        <v>1048</v>
      </c>
      <c r="J485" t="s">
        <v>987</v>
      </c>
      <c r="K485" t="b">
        <v>1</v>
      </c>
      <c r="L485" t="b">
        <v>0</v>
      </c>
      <c r="M485" t="s">
        <v>987</v>
      </c>
      <c r="N485" t="s">
        <v>1713</v>
      </c>
      <c r="O485" t="s">
        <v>1714</v>
      </c>
      <c r="P485" t="s">
        <v>1715</v>
      </c>
      <c r="Q485" t="s">
        <v>1738</v>
      </c>
    </row>
    <row r="486" spans="1:17" x14ac:dyDescent="0.25">
      <c r="A486" t="s">
        <v>42</v>
      </c>
      <c r="B486" t="s">
        <v>1567</v>
      </c>
      <c r="C486" t="s">
        <v>356</v>
      </c>
      <c r="D486" t="s">
        <v>1006</v>
      </c>
      <c r="E486">
        <v>4376</v>
      </c>
      <c r="F486" t="s">
        <v>1711</v>
      </c>
      <c r="G486" t="s">
        <v>485</v>
      </c>
      <c r="H486" t="s">
        <v>1137</v>
      </c>
      <c r="I486" t="s">
        <v>1154</v>
      </c>
      <c r="J486" t="s">
        <v>987</v>
      </c>
      <c r="K486" t="b">
        <v>1</v>
      </c>
      <c r="L486" t="b">
        <v>0</v>
      </c>
      <c r="M486" t="s">
        <v>987</v>
      </c>
      <c r="N486" t="s">
        <v>1713</v>
      </c>
      <c r="O486" t="s">
        <v>1714</v>
      </c>
      <c r="P486" t="s">
        <v>1715</v>
      </c>
      <c r="Q486" t="s">
        <v>1738</v>
      </c>
    </row>
    <row r="487" spans="1:17" x14ac:dyDescent="0.25">
      <c r="A487" t="s">
        <v>42</v>
      </c>
      <c r="B487" t="s">
        <v>1569</v>
      </c>
      <c r="C487" t="s">
        <v>356</v>
      </c>
      <c r="D487" t="s">
        <v>1008</v>
      </c>
      <c r="E487">
        <v>4472</v>
      </c>
      <c r="F487" t="s">
        <v>1711</v>
      </c>
      <c r="G487" t="s">
        <v>485</v>
      </c>
      <c r="H487" t="s">
        <v>1137</v>
      </c>
      <c r="I487" t="s">
        <v>1054</v>
      </c>
      <c r="J487" t="s">
        <v>987</v>
      </c>
      <c r="K487" t="b">
        <v>1</v>
      </c>
      <c r="L487" t="b">
        <v>0</v>
      </c>
      <c r="M487" t="s">
        <v>987</v>
      </c>
      <c r="N487" t="s">
        <v>1713</v>
      </c>
      <c r="O487" t="s">
        <v>1714</v>
      </c>
      <c r="P487" t="s">
        <v>1715</v>
      </c>
      <c r="Q487" t="s">
        <v>1738</v>
      </c>
    </row>
    <row r="488" spans="1:17" x14ac:dyDescent="0.25">
      <c r="A488" t="s">
        <v>42</v>
      </c>
      <c r="B488" t="s">
        <v>1571</v>
      </c>
      <c r="C488" t="s">
        <v>356</v>
      </c>
      <c r="D488" t="s">
        <v>1010</v>
      </c>
      <c r="E488">
        <v>4553</v>
      </c>
      <c r="F488" t="s">
        <v>1711</v>
      </c>
      <c r="G488" t="s">
        <v>485</v>
      </c>
      <c r="H488" t="s">
        <v>1137</v>
      </c>
      <c r="I488" t="s">
        <v>1057</v>
      </c>
      <c r="J488" t="s">
        <v>987</v>
      </c>
      <c r="K488" t="b">
        <v>1</v>
      </c>
      <c r="L488" t="b">
        <v>0</v>
      </c>
      <c r="M488" t="s">
        <v>987</v>
      </c>
      <c r="N488" t="s">
        <v>1713</v>
      </c>
      <c r="O488" t="s">
        <v>1714</v>
      </c>
      <c r="P488" t="s">
        <v>1715</v>
      </c>
      <c r="Q488" t="s">
        <v>1738</v>
      </c>
    </row>
    <row r="489" spans="1:17" x14ac:dyDescent="0.25">
      <c r="A489" t="s">
        <v>42</v>
      </c>
      <c r="B489" t="s">
        <v>1573</v>
      </c>
      <c r="C489" t="s">
        <v>356</v>
      </c>
      <c r="D489" t="s">
        <v>1012</v>
      </c>
      <c r="E489">
        <v>4686</v>
      </c>
      <c r="F489" t="s">
        <v>1711</v>
      </c>
      <c r="G489" t="s">
        <v>485</v>
      </c>
      <c r="H489" t="s">
        <v>1137</v>
      </c>
      <c r="I489" t="s">
        <v>1060</v>
      </c>
      <c r="J489" t="s">
        <v>987</v>
      </c>
      <c r="K489" t="b">
        <v>1</v>
      </c>
      <c r="L489" t="b">
        <v>0</v>
      </c>
      <c r="M489" t="s">
        <v>987</v>
      </c>
      <c r="N489" t="s">
        <v>1713</v>
      </c>
      <c r="O489" t="s">
        <v>1714</v>
      </c>
      <c r="P489" t="s">
        <v>1715</v>
      </c>
      <c r="Q489" t="s">
        <v>1738</v>
      </c>
    </row>
    <row r="490" spans="1:17" x14ac:dyDescent="0.25">
      <c r="A490" t="s">
        <v>42</v>
      </c>
      <c r="B490" t="s">
        <v>1575</v>
      </c>
      <c r="C490" t="s">
        <v>356</v>
      </c>
      <c r="D490" t="s">
        <v>1014</v>
      </c>
      <c r="E490">
        <v>4753</v>
      </c>
      <c r="F490" t="s">
        <v>1711</v>
      </c>
      <c r="G490" t="s">
        <v>485</v>
      </c>
      <c r="H490" t="s">
        <v>1137</v>
      </c>
      <c r="I490" t="s">
        <v>1154</v>
      </c>
      <c r="J490" t="s">
        <v>987</v>
      </c>
      <c r="K490" t="b">
        <v>1</v>
      </c>
      <c r="L490" t="b">
        <v>0</v>
      </c>
      <c r="M490" t="s">
        <v>987</v>
      </c>
      <c r="N490" t="s">
        <v>1713</v>
      </c>
      <c r="O490" t="s">
        <v>1714</v>
      </c>
      <c r="P490" t="s">
        <v>1715</v>
      </c>
      <c r="Q490" t="s">
        <v>1738</v>
      </c>
    </row>
    <row r="491" spans="1:17" x14ac:dyDescent="0.25">
      <c r="A491" t="s">
        <v>42</v>
      </c>
      <c r="B491" t="s">
        <v>1577</v>
      </c>
      <c r="C491" t="s">
        <v>356</v>
      </c>
      <c r="D491" t="s">
        <v>1016</v>
      </c>
      <c r="E491">
        <v>4036</v>
      </c>
      <c r="F491" t="s">
        <v>1711</v>
      </c>
      <c r="G491" t="s">
        <v>485</v>
      </c>
      <c r="H491" t="s">
        <v>1137</v>
      </c>
      <c r="I491" t="s">
        <v>1066</v>
      </c>
      <c r="J491" t="s">
        <v>987</v>
      </c>
      <c r="K491" t="b">
        <v>1</v>
      </c>
      <c r="L491" t="b">
        <v>0</v>
      </c>
      <c r="M491" t="s">
        <v>987</v>
      </c>
      <c r="N491" t="s">
        <v>1713</v>
      </c>
      <c r="O491" t="s">
        <v>1714</v>
      </c>
      <c r="P491" t="s">
        <v>1715</v>
      </c>
      <c r="Q491" t="s">
        <v>1738</v>
      </c>
    </row>
    <row r="492" spans="1:17" x14ac:dyDescent="0.25">
      <c r="A492" t="s">
        <v>42</v>
      </c>
      <c r="B492" t="s">
        <v>1449</v>
      </c>
      <c r="C492" t="s">
        <v>348</v>
      </c>
      <c r="D492" t="s">
        <v>1115</v>
      </c>
      <c r="E492">
        <v>11204</v>
      </c>
      <c r="F492" t="s">
        <v>1711</v>
      </c>
      <c r="G492" t="s">
        <v>1739</v>
      </c>
      <c r="H492" t="s">
        <v>1137</v>
      </c>
      <c r="I492" t="s">
        <v>987</v>
      </c>
      <c r="J492" t="s">
        <v>987</v>
      </c>
      <c r="K492" t="b">
        <v>1</v>
      </c>
      <c r="L492" t="b">
        <v>0</v>
      </c>
      <c r="M492" t="s">
        <v>987</v>
      </c>
      <c r="N492" t="s">
        <v>1713</v>
      </c>
      <c r="O492" t="s">
        <v>1714</v>
      </c>
      <c r="P492" t="s">
        <v>1715</v>
      </c>
      <c r="Q492" t="s">
        <v>1740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